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75" activeTab="0"/>
  </bookViews>
  <sheets>
    <sheet name="2018年一般公共预算收入" sheetId="1" r:id="rId1"/>
    <sheet name="2018一般公共预算支出" sheetId="2" r:id="rId2"/>
    <sheet name="2018年政府性基金收入完成情况" sheetId="3" r:id="rId3"/>
    <sheet name="2018年政府性基金支出执行情况" sheetId="4" r:id="rId4"/>
    <sheet name="2018年社会保险基金收支情况表" sheetId="5" r:id="rId5"/>
    <sheet name="2018国有资本经营预算收入" sheetId="6" r:id="rId6"/>
    <sheet name="2018年国有资本经营支出" sheetId="7" r:id="rId7"/>
    <sheet name="2019年一般公共预算总收入" sheetId="8" r:id="rId8"/>
    <sheet name="2019年一般公共预算收入" sheetId="9" r:id="rId9"/>
    <sheet name="2019年公共预算总支出" sheetId="10" r:id="rId10"/>
    <sheet name="2019年公共预算" sheetId="11" r:id="rId11"/>
    <sheet name="2019年公共预算经济科目" sheetId="12" r:id="rId12"/>
    <sheet name="2019年政府性基金收入" sheetId="13" r:id="rId13"/>
    <sheet name="2019政府性基金支出" sheetId="14" r:id="rId14"/>
    <sheet name="2019年社会保险基金收支表" sheetId="15" r:id="rId15"/>
    <sheet name="2019年社会保险基金收入情况表" sheetId="16" r:id="rId16"/>
    <sheet name="2019年社会保险基金支出情况表" sheetId="17" r:id="rId17"/>
    <sheet name="2019年国有经营预算收入" sheetId="18" r:id="rId18"/>
    <sheet name="2019年国有经营预算支出" sheetId="19" r:id="rId19"/>
    <sheet name="2017、2018一般债务" sheetId="20" r:id="rId20"/>
    <sheet name="2017、2018专项限额" sheetId="21" r:id="rId21"/>
    <sheet name="2019年重点项目" sheetId="22" r:id="rId22"/>
    <sheet name="Sheet2" sheetId="23" r:id="rId23"/>
    <sheet name="Sheet3" sheetId="24" r:id="rId24"/>
    <sheet name="Sheet4" sheetId="25" r:id="rId25"/>
    <sheet name="0" sheetId="26" r:id="rId26"/>
  </sheets>
  <definedNames>
    <definedName name="_xlnm.Print_Titles" localSheetId="25">'2019年重点项目'!$1:$5</definedName>
    <definedName name="_xlnm.Print_Titles" localSheetId="10">'2019年公共预算'!$1:$5</definedName>
    <definedName name="_xlnm.Print_Titles" localSheetId="9">'2019年公共预算总支出'!$1:$4</definedName>
    <definedName name="_xlnm.Print_Titles" localSheetId="7">'2019年一般公共预算总收入'!$1:$4</definedName>
    <definedName name="_xlnm.Print_Titles" localSheetId="21">'2019年重点项目'!$1:$5</definedName>
    <definedName name="_xlnm.Print_Titles" localSheetId="13">'2019政府性基金支出'!$1:$3</definedName>
  </definedNames>
  <calcPr fullCalcOnLoad="1"/>
</workbook>
</file>

<file path=xl/sharedStrings.xml><?xml version="1.0" encoding="utf-8"?>
<sst xmlns="http://schemas.openxmlformats.org/spreadsheetml/2006/main" count="1259" uniqueCount="1040">
  <si>
    <t>方山县二0一八年财政收入完成情况表</t>
  </si>
  <si>
    <t>表一</t>
  </si>
  <si>
    <t>单位：万元</t>
  </si>
  <si>
    <t>收入项目</t>
  </si>
  <si>
    <t>2018年调整预算数</t>
  </si>
  <si>
    <t>2018年完成数</t>
  </si>
  <si>
    <t>完成为年度预算%</t>
  </si>
  <si>
    <t>完成为2017年决算%</t>
  </si>
  <si>
    <t>备注</t>
  </si>
  <si>
    <t>公共预算收入合计</t>
  </si>
  <si>
    <t xml:space="preserve">    税收收入</t>
  </si>
  <si>
    <t>一、增值税</t>
  </si>
  <si>
    <t>三、企业所得税</t>
  </si>
  <si>
    <t>四、个人所得税</t>
  </si>
  <si>
    <t>五、资源税</t>
  </si>
  <si>
    <t>六、城市维护建设税</t>
  </si>
  <si>
    <t>七、房产税</t>
  </si>
  <si>
    <t>八、印花税</t>
  </si>
  <si>
    <t>九、城镇土地使用税</t>
  </si>
  <si>
    <t>十、土地增值税</t>
  </si>
  <si>
    <t>十一、车船使用和牌照税</t>
  </si>
  <si>
    <t>十二、耕地占用税</t>
  </si>
  <si>
    <t>十三、契税</t>
  </si>
  <si>
    <t>十四、环境保护税</t>
  </si>
  <si>
    <t xml:space="preserve">    非税收入</t>
  </si>
  <si>
    <t>十四、专项收入</t>
  </si>
  <si>
    <t>十五、行政性收费收入</t>
  </si>
  <si>
    <t>十六、罚没收入</t>
  </si>
  <si>
    <t>十八、国有资源（资产）有偿使用收入</t>
  </si>
  <si>
    <t>十九、捐赠收入</t>
  </si>
  <si>
    <t>二十、政府住房基金收入</t>
  </si>
  <si>
    <t>二十一、其他收入</t>
  </si>
  <si>
    <t>方山县二0一八年财政支出执行情况表</t>
  </si>
  <si>
    <t>表二</t>
  </si>
  <si>
    <t>支出项目</t>
  </si>
  <si>
    <t>2018年执行数</t>
  </si>
  <si>
    <t>执行为调整预算%</t>
  </si>
  <si>
    <t>执行为2017年决算%</t>
  </si>
  <si>
    <t>公共预算支出合计</t>
  </si>
  <si>
    <t>一、一般公共服务</t>
  </si>
  <si>
    <t>二、国防</t>
  </si>
  <si>
    <t>三、公共安全</t>
  </si>
  <si>
    <t>四、教育</t>
  </si>
  <si>
    <t>五、科学技术</t>
  </si>
  <si>
    <t>六、文化体育与传媒</t>
  </si>
  <si>
    <t>七、社会保障和就业</t>
  </si>
  <si>
    <t>八、医疗卫生</t>
  </si>
  <si>
    <t>九、节能环保</t>
  </si>
  <si>
    <t>十、城乡社区事务</t>
  </si>
  <si>
    <t>十一、农林水事务</t>
  </si>
  <si>
    <t>十二、交通运输</t>
  </si>
  <si>
    <t>十三、资源勘探电力信息等事务</t>
  </si>
  <si>
    <t>十四、商业服务业等事务</t>
  </si>
  <si>
    <t>十五、金融支出</t>
  </si>
  <si>
    <t>十六、国土资源气象等事务</t>
  </si>
  <si>
    <t>十七、住房保障支出</t>
  </si>
  <si>
    <t>十八、粮油物资管理事务</t>
  </si>
  <si>
    <t>十九、国债还本付息支出</t>
  </si>
  <si>
    <t>二十、其他支出</t>
  </si>
  <si>
    <t>方山县二0一八年政府性基金收入完成情况表</t>
  </si>
  <si>
    <t>表三</t>
  </si>
  <si>
    <t>收入科目</t>
  </si>
  <si>
    <t>完成为调整预算数%</t>
  </si>
  <si>
    <t>完成为2017年决算数</t>
  </si>
  <si>
    <t>政府性基金预算收入合计</t>
  </si>
  <si>
    <t>一、国有土地使用权出让收入</t>
  </si>
  <si>
    <t>二、城市基础设施配套费收入</t>
  </si>
  <si>
    <t>三、国有土地收益基金收入</t>
  </si>
  <si>
    <t>四、农业土地开发资金收入</t>
  </si>
  <si>
    <t>五、其他政府性基金收入</t>
  </si>
  <si>
    <t>方山县二0一八年政府性基金支出完成情况表</t>
  </si>
  <si>
    <t>表四</t>
  </si>
  <si>
    <t>支出科目</t>
  </si>
  <si>
    <t>政府性基金预算支出合计</t>
  </si>
  <si>
    <t>一、国家电影事业发展专项资金及对应专项债务收入安排的支出</t>
  </si>
  <si>
    <t>二、大中型水库移民后期扶持基金支出</t>
  </si>
  <si>
    <t>三、小型水库移民扶助基金及对应专项债务收入安排的支出</t>
  </si>
  <si>
    <t>四、国有土地使用权出让收入及对应专项债务收入安排的支出</t>
  </si>
  <si>
    <t>五、 国有土地收益基金及对应专项债务收入安排的支出</t>
  </si>
  <si>
    <t>六、农业土地开发资金及对应专项债务收入安排的支出</t>
  </si>
  <si>
    <t>七、城市基础设施配套费及对应专项债务收入安排的支出</t>
  </si>
  <si>
    <t>八、大中型水库移民扶助基金及对应专项债务收入安排的支出</t>
  </si>
  <si>
    <t>九、小中型水库移民扶助基金及对应专项债务收入安排的支出</t>
  </si>
  <si>
    <t>十、旅游发展基金支出</t>
  </si>
  <si>
    <t>十一、彩票公益金及对应专项债务收入安排的支出</t>
  </si>
  <si>
    <t>十二、其他政府性基金及对应专项债务收入安排的支出</t>
  </si>
  <si>
    <t>十三、债务付息支出</t>
  </si>
  <si>
    <t>二○一八年社会保险基金预算收支（草案）</t>
  </si>
  <si>
    <t>表五</t>
  </si>
  <si>
    <t>项        目</t>
  </si>
  <si>
    <t>2018年预算收入数</t>
  </si>
  <si>
    <t>其中：财政补贴收入</t>
  </si>
  <si>
    <t>2018年预算支出数</t>
  </si>
  <si>
    <t>收支结余</t>
  </si>
  <si>
    <t>1、企业职工基本养老保险基金</t>
  </si>
  <si>
    <t>当年执行数</t>
  </si>
  <si>
    <t>动用历年结余</t>
  </si>
  <si>
    <t>2、城乡居民基本养老保险基金</t>
  </si>
  <si>
    <t>3、机关事业单位基本养老保险基金</t>
  </si>
  <si>
    <t>合计</t>
  </si>
  <si>
    <t>方山县二○一八年国有资本经营预算收入情况表</t>
  </si>
  <si>
    <t>表六</t>
  </si>
  <si>
    <t>项目</t>
  </si>
  <si>
    <t>2018年预算数</t>
  </si>
  <si>
    <t>执行为预算%</t>
  </si>
  <si>
    <t>执行为2018年决算%</t>
  </si>
  <si>
    <t>收入合计</t>
  </si>
  <si>
    <t>一、利润收入</t>
  </si>
  <si>
    <t>二、股利、股息收入</t>
  </si>
  <si>
    <t>三、产权转让收入</t>
  </si>
  <si>
    <t>四、清算收入</t>
  </si>
  <si>
    <t>五、其他国有资本经营预算收入</t>
  </si>
  <si>
    <t>支出合计</t>
  </si>
  <si>
    <t>方山县二○一八年国有资本经营预算支出情况表</t>
  </si>
  <si>
    <t>表七</t>
  </si>
  <si>
    <t>一、教育</t>
  </si>
  <si>
    <t>二、科学技术</t>
  </si>
  <si>
    <t>三、文化体育与传媒</t>
  </si>
  <si>
    <t>四、社会保障和就业</t>
  </si>
  <si>
    <t>五、节能环保</t>
  </si>
  <si>
    <t>六、城乡社区事务</t>
  </si>
  <si>
    <t>七、农林水事务</t>
  </si>
  <si>
    <t>八、交通运输</t>
  </si>
  <si>
    <t>九、资源勘探电力信息等</t>
  </si>
  <si>
    <t>十、商业服务业等</t>
  </si>
  <si>
    <t>十一、其他支出</t>
  </si>
  <si>
    <t>方山县二○一九年一般公共预算收入总表（草案）</t>
  </si>
  <si>
    <t>表八</t>
  </si>
  <si>
    <t>收  入</t>
  </si>
  <si>
    <t>备        注</t>
  </si>
  <si>
    <t>一般公共预算收入总计</t>
  </si>
  <si>
    <t>一、一般公共预算收入</t>
  </si>
  <si>
    <t>二、转移性收入</t>
  </si>
  <si>
    <t xml:space="preserve"> 1、返还性收入</t>
  </si>
  <si>
    <t xml:space="preserve">  所得税基数返还收入</t>
  </si>
  <si>
    <t xml:space="preserve">  成品油税费改革税收返还收入</t>
  </si>
  <si>
    <t xml:space="preserve">  增值税税收返还收入</t>
  </si>
  <si>
    <t xml:space="preserve">  消费税税收返还</t>
  </si>
  <si>
    <t xml:space="preserve">  增值税“五五分享”税收返还收入</t>
  </si>
  <si>
    <t xml:space="preserve"> 2、一般性转移支付收入</t>
  </si>
  <si>
    <t xml:space="preserve">  体制补助</t>
  </si>
  <si>
    <t xml:space="preserve">  均衡性转移支付收入</t>
  </si>
  <si>
    <t xml:space="preserve">  县级基本财力保障机制奖补资金收入</t>
  </si>
  <si>
    <t xml:space="preserve">  结算补助收入</t>
  </si>
  <si>
    <t xml:space="preserve">  资源枯竭型城市转移支付补助收入</t>
  </si>
  <si>
    <t xml:space="preserve">  企事业单位划转补助收入</t>
  </si>
  <si>
    <t xml:space="preserve">  成品油税费改革转移支付补助收入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</si>
  <si>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</si>
  <si>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</si>
  <si>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</si>
  <si>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</si>
  <si>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产粮（油）达县奖励资金收入</t>
  </si>
  <si>
    <t xml:space="preserve">  重点生态功能区转移支付收入</t>
  </si>
  <si>
    <t xml:space="preserve">  固定数额补助收入</t>
  </si>
  <si>
    <t xml:space="preserve">  革命老区转移支付收入</t>
  </si>
  <si>
    <t xml:space="preserve">  贫困地区转移支付收入</t>
  </si>
  <si>
    <t>公共安全共同财政事权转移支付支出</t>
  </si>
  <si>
    <t>教育共同财政事权转移支付支出</t>
  </si>
  <si>
    <t>社会保障和就业共同财政事权转移支付支出</t>
  </si>
  <si>
    <t>卫生健康共同财政事权转移支付支出</t>
  </si>
  <si>
    <t>住房保障共同财政事权转移支付支出</t>
  </si>
  <si>
    <t>其他一般性转移支付支出</t>
  </si>
  <si>
    <t xml:space="preserve"> 3、专项转移支付收入</t>
  </si>
  <si>
    <t xml:space="preserve"> 5、调入资金</t>
  </si>
  <si>
    <t xml:space="preserve">  调入预算稳定调节基金</t>
  </si>
  <si>
    <t xml:space="preserve">  调入其他专户资金</t>
  </si>
  <si>
    <t xml:space="preserve">  调入其他资金</t>
  </si>
  <si>
    <t xml:space="preserve">  从国有资本经营预算调入一般公共预算</t>
  </si>
  <si>
    <t>方山县二0一九年一般公共预算收入（草案）</t>
  </si>
  <si>
    <t>表九</t>
  </si>
  <si>
    <t>2019年预算数</t>
  </si>
  <si>
    <t>为2018年完成数%</t>
  </si>
  <si>
    <t>一、税收收入</t>
  </si>
  <si>
    <t>1、增值税</t>
  </si>
  <si>
    <t>3、企业所得税</t>
  </si>
  <si>
    <t>4、个人所得税</t>
  </si>
  <si>
    <t>5、资源税</t>
  </si>
  <si>
    <t>6、其他税收收入</t>
  </si>
  <si>
    <t>二、非税收入</t>
  </si>
  <si>
    <t>1、专项收入</t>
  </si>
  <si>
    <t>2、行政事业性收费收入</t>
  </si>
  <si>
    <t>3、罚没收入</t>
  </si>
  <si>
    <t>4、政府住房基金收入</t>
  </si>
  <si>
    <t>5、国有资源（资产）有偿使用收入</t>
  </si>
  <si>
    <t>6、捐赠收入</t>
  </si>
  <si>
    <t>7、其他收入</t>
  </si>
  <si>
    <t>方山县二○一九年一般公共预算支出总表（草案）</t>
  </si>
  <si>
    <t>表十</t>
  </si>
  <si>
    <t>一般公共预算支出总计</t>
  </si>
  <si>
    <t>一、县本级一般公共预算支出</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</si>
  <si>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</si>
  <si>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</si>
  <si>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</si>
  <si>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</si>
  <si>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</si>
  <si>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</si>
  <si>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</si>
  <si>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</si>
  <si>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</si>
  <si>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</si>
  <si>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</si>
  <si>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</si>
  <si>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</si>
  <si>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</si>
  <si>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</si>
  <si>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国土海洋气象支出</t>
  </si>
  <si>
    <t xml:space="preserve">  住房保障支出</t>
  </si>
  <si>
    <t xml:space="preserve">  粮油物资储备支出</t>
  </si>
  <si>
    <t xml:space="preserve">  灾害防治及应急管理支出</t>
  </si>
  <si>
    <t xml:space="preserve">  预备费</t>
  </si>
  <si>
    <t xml:space="preserve">  其他支出</t>
  </si>
  <si>
    <t xml:space="preserve">  债务付息支出</t>
  </si>
  <si>
    <t xml:space="preserve">  债务发行费用支出</t>
  </si>
  <si>
    <t>二、转移性支出</t>
  </si>
  <si>
    <t xml:space="preserve"> 1、返还性支出</t>
  </si>
  <si>
    <t xml:space="preserve">  所得税基数返还支出</t>
  </si>
  <si>
    <t xml:space="preserve">  成品油税费改革税收返还支出</t>
  </si>
  <si>
    <t xml:space="preserve">  增值税税收返还支出</t>
  </si>
  <si>
    <t xml:space="preserve">  增值税“五五分享”税收返还支出</t>
  </si>
  <si>
    <t xml:space="preserve"> 2、一般性转移支付</t>
  </si>
  <si>
    <t xml:space="preserve">  均衡性转移支付支出</t>
  </si>
  <si>
    <t xml:space="preserve">  县级基本财力保障机制奖补资金支出</t>
  </si>
  <si>
    <t xml:space="preserve">  结算补助支出</t>
  </si>
  <si>
    <t xml:space="preserve">  资源枯竭型城市转移支付补助支出</t>
  </si>
  <si>
    <t xml:space="preserve">  企事业单位划转补助支出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</si>
  <si>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</si>
  <si>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</si>
  <si>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</si>
  <si>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</si>
  <si>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</si>
  <si>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</si>
  <si>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产粮（油）达县奖励资金支出</t>
  </si>
  <si>
    <t xml:space="preserve">  重点生态功能区转移支付支出</t>
  </si>
  <si>
    <t xml:space="preserve">  固定数额补助支出</t>
  </si>
  <si>
    <t xml:space="preserve">  革命老区转移支付支出</t>
  </si>
  <si>
    <t xml:space="preserve">  贫困地区转移支付支出</t>
  </si>
  <si>
    <t>下达2019年中央财政专项资金</t>
  </si>
  <si>
    <t xml:space="preserve">  公共安全共同财政事权转移支付支出</t>
  </si>
  <si>
    <t xml:space="preserve">  教育共同财政事权转移支付支出</t>
  </si>
  <si>
    <t xml:space="preserve">  社会保障和就业共同财政事权转移支付支出</t>
  </si>
  <si>
    <t xml:space="preserve">  卫生健康共同财政事权转移支付支出</t>
  </si>
  <si>
    <t xml:space="preserve">  住房保障共同财政事权转移支付支出</t>
  </si>
  <si>
    <t xml:space="preserve">  其他一般转移支付支出</t>
  </si>
  <si>
    <t xml:space="preserve"> 3、专项转移支付支出</t>
  </si>
  <si>
    <t xml:space="preserve">    提前下达地方专项转移支付数</t>
  </si>
  <si>
    <t xml:space="preserve"> 4、上解支出</t>
  </si>
  <si>
    <t xml:space="preserve">  　　专项上解支出</t>
  </si>
  <si>
    <t>采矿排水水资源税上解(晋财预〔2018〕67号)861万元；2019年对口援疆50万元；2017年12月-2018年1-11月跨界断面水质考核生态补偿金专项上解（晋财建二[2018]253号）（吕财建〔2018〕175号）720万元；吕梁机场运行补贴县级负担基数200万元。</t>
  </si>
  <si>
    <t>三、债务还本支出</t>
  </si>
  <si>
    <t xml:space="preserve">  地方政府债务还本支出</t>
  </si>
  <si>
    <t>方山县二○一九年一般公共预算支出（草案）</t>
  </si>
  <si>
    <t>表十一</t>
  </si>
  <si>
    <t>支  出  项  目</t>
  </si>
  <si>
    <t>2018年      预算数</t>
  </si>
  <si>
    <t>其中：当年地方财力安排数</t>
  </si>
  <si>
    <t>2019年      预算数</t>
  </si>
  <si>
    <t>为2018年预算数%</t>
  </si>
  <si>
    <t>备      注</t>
  </si>
  <si>
    <t>其中：提前下达县市转移支付</t>
  </si>
  <si>
    <t>一般公共预算支出合计</t>
  </si>
  <si>
    <t>一、一般公共服务支出</t>
  </si>
  <si>
    <t xml:space="preserve">  人大事务</t>
  </si>
  <si>
    <t xml:space="preserve">    行政运行(人大)</t>
  </si>
  <si>
    <t>在线监督平台运行费30万元.</t>
  </si>
  <si>
    <t xml:space="preserve">    代表工作</t>
  </si>
  <si>
    <t>人大代表活动经费47万元。</t>
  </si>
  <si>
    <t xml:space="preserve">  政协事务</t>
  </si>
  <si>
    <t xml:space="preserve">    行政运行(政协)</t>
  </si>
  <si>
    <t xml:space="preserve">    一般行政管理事务（政协）</t>
  </si>
  <si>
    <t xml:space="preserve">    委员视察</t>
  </si>
  <si>
    <t>政协委员活动经费22万元。</t>
  </si>
  <si>
    <t xml:space="preserve">  政府办公厅（室）及相关机构事务</t>
  </si>
  <si>
    <t xml:space="preserve">    行政运行(政府办公厅)</t>
  </si>
  <si>
    <t xml:space="preserve">    一般行政管理事务(政府办公厅)</t>
  </si>
  <si>
    <t xml:space="preserve">    机关服务(政府办公厅)</t>
  </si>
  <si>
    <t xml:space="preserve">    信访事务</t>
  </si>
  <si>
    <t xml:space="preserve">    参事事务</t>
  </si>
  <si>
    <t xml:space="preserve">    事业运行(政府办公厅)</t>
  </si>
  <si>
    <t xml:space="preserve">    其他政府办公厅（室）及相关机构事务支出</t>
  </si>
  <si>
    <t xml:space="preserve">  发展与改革事务</t>
  </si>
  <si>
    <t xml:space="preserve">    行政运行(发展与改革)</t>
  </si>
  <si>
    <t xml:space="preserve">    一般行政管理事务(发展与改革)</t>
  </si>
  <si>
    <t xml:space="preserve">    其他发展与改革事务支出</t>
  </si>
  <si>
    <t xml:space="preserve">  统计信息事务</t>
  </si>
  <si>
    <t xml:space="preserve">    行政运行(统计信息)</t>
  </si>
  <si>
    <t xml:space="preserve">    专项普查活动</t>
  </si>
  <si>
    <t>经济普查经费23万元。</t>
  </si>
  <si>
    <t xml:space="preserve">    事业运行</t>
  </si>
  <si>
    <t xml:space="preserve">    统计抽样调查</t>
  </si>
  <si>
    <t xml:space="preserve">    其他统计信息事务</t>
  </si>
  <si>
    <t xml:space="preserve">  财政事务</t>
  </si>
  <si>
    <t xml:space="preserve">    行政运行(财政)</t>
  </si>
  <si>
    <t xml:space="preserve">    一般行政管理事务(财政)</t>
  </si>
  <si>
    <t xml:space="preserve">    信息化建设（财政）</t>
  </si>
  <si>
    <t xml:space="preserve">    事业运行(财政)</t>
  </si>
  <si>
    <t xml:space="preserve">    其他财政事务支出</t>
  </si>
  <si>
    <t xml:space="preserve">  税收事务</t>
  </si>
  <si>
    <t xml:space="preserve">  其他税收事务</t>
  </si>
  <si>
    <t xml:space="preserve">  审计事务</t>
  </si>
  <si>
    <t xml:space="preserve">    行政运行(审计)</t>
  </si>
  <si>
    <t xml:space="preserve">    一般行政管理事务(审计)</t>
  </si>
  <si>
    <t xml:space="preserve">  人力资源事务</t>
  </si>
  <si>
    <t xml:space="preserve">    军队转业干部安置</t>
  </si>
  <si>
    <t xml:space="preserve">    其他人力资源事务支出</t>
  </si>
  <si>
    <t xml:space="preserve">  纪检监察事务</t>
  </si>
  <si>
    <t xml:space="preserve">    行政运行(纪检监察)</t>
  </si>
  <si>
    <t xml:space="preserve">  商贸事务</t>
  </si>
  <si>
    <t xml:space="preserve">    行政运行(商贸)</t>
  </si>
  <si>
    <t xml:space="preserve">    其他商贸事务支出</t>
  </si>
  <si>
    <t xml:space="preserve">  工商行政管理事务</t>
  </si>
  <si>
    <t xml:space="preserve">    行政运行(工商行政)</t>
  </si>
  <si>
    <t xml:space="preserve">    工商行政管理专项</t>
  </si>
  <si>
    <t xml:space="preserve">    其他工商行政管理事务支出</t>
  </si>
  <si>
    <t xml:space="preserve">  质量技术监督与检验检疫事务</t>
  </si>
  <si>
    <t xml:space="preserve">    行政运行(质检)</t>
  </si>
  <si>
    <t xml:space="preserve">    事业运行(质检)</t>
  </si>
  <si>
    <t xml:space="preserve">    其他质量技术监督与检验检疫事务支出</t>
  </si>
  <si>
    <t xml:space="preserve">  宗教事务</t>
  </si>
  <si>
    <t xml:space="preserve">    行政运行(宗教)</t>
  </si>
  <si>
    <t xml:space="preserve">  港澳台侨事务</t>
  </si>
  <si>
    <t xml:space="preserve">    台湾事务</t>
  </si>
  <si>
    <t xml:space="preserve">    华侨事务</t>
  </si>
  <si>
    <t xml:space="preserve">  档案事务</t>
  </si>
  <si>
    <t xml:space="preserve">    行政运行(档案)</t>
  </si>
  <si>
    <t xml:space="preserve">  民主党派及工商联事务</t>
  </si>
  <si>
    <t xml:space="preserve">    行政运行(民主党派及工商联)</t>
  </si>
  <si>
    <t xml:space="preserve">  群众团体事务</t>
  </si>
  <si>
    <t xml:space="preserve">    行政运行(群众团体)</t>
  </si>
  <si>
    <t xml:space="preserve">    一般行政管理事务(群众团体)</t>
  </si>
  <si>
    <t xml:space="preserve">    事业运行(群众团体)</t>
  </si>
  <si>
    <t xml:space="preserve">    其他群众团体事务支出</t>
  </si>
  <si>
    <t xml:space="preserve">  党委办公厅（室）及相关机构事务</t>
  </si>
  <si>
    <t xml:space="preserve">    行政运行(党委办公厅)</t>
  </si>
  <si>
    <t xml:space="preserve">    事业运行(党委办公厅)</t>
  </si>
  <si>
    <t xml:space="preserve">    其他党委办公厅（室）及相关机构事务支出</t>
  </si>
  <si>
    <t xml:space="preserve">  组织事务</t>
  </si>
  <si>
    <t xml:space="preserve">    行政运行(组织)</t>
  </si>
  <si>
    <t xml:space="preserve">    其他组织事务支出</t>
  </si>
  <si>
    <t xml:space="preserve">     提前下达2019年度农村（社区）党员教育培训经费9.53万元；提前下达2019年度全省非公经济组织和社会组织党1.06万元。</t>
  </si>
  <si>
    <t xml:space="preserve">  宣传事务</t>
  </si>
  <si>
    <t xml:space="preserve">    行政运行(宣传)</t>
  </si>
  <si>
    <t xml:space="preserve">  统战事务</t>
  </si>
  <si>
    <t xml:space="preserve">    行政运行(统战)</t>
  </si>
  <si>
    <t xml:space="preserve">    一般行政管理事务(统战)</t>
  </si>
  <si>
    <t xml:space="preserve">    其他统战事务支出</t>
  </si>
  <si>
    <t xml:space="preserve">  其他共产党事务支出</t>
  </si>
  <si>
    <t xml:space="preserve">    行政运行(其他共产党)</t>
  </si>
  <si>
    <t xml:space="preserve">    机关服务（其他共产党）</t>
  </si>
  <si>
    <t xml:space="preserve">    事业运行(其他共产党)</t>
  </si>
  <si>
    <t xml:space="preserve">    其他共产党事务支出</t>
  </si>
  <si>
    <t>二、国防支出</t>
  </si>
  <si>
    <t xml:space="preserve">    国防动员</t>
  </si>
  <si>
    <t xml:space="preserve">       其他国防动员支出</t>
  </si>
  <si>
    <t>三、公共安全支出</t>
  </si>
  <si>
    <t xml:space="preserve">  武装警察</t>
  </si>
  <si>
    <t xml:space="preserve">    其他武装警察支出</t>
  </si>
  <si>
    <t xml:space="preserve">  公安</t>
  </si>
  <si>
    <t xml:space="preserve">    行政运行(公安)</t>
  </si>
  <si>
    <t xml:space="preserve">    一般行政管理事务(公安)</t>
  </si>
  <si>
    <t xml:space="preserve">    拘押受教场所管理</t>
  </si>
  <si>
    <t xml:space="preserve">    禁毒管理</t>
  </si>
  <si>
    <t xml:space="preserve">    道路交通管理</t>
  </si>
  <si>
    <t xml:space="preserve">    信息化建设（公安）</t>
  </si>
  <si>
    <t xml:space="preserve">  检察</t>
  </si>
  <si>
    <t xml:space="preserve">    行政运行(检察)</t>
  </si>
  <si>
    <t xml:space="preserve">    一般行政管理事务(检察)</t>
  </si>
  <si>
    <t xml:space="preserve">  法院</t>
  </si>
  <si>
    <t xml:space="preserve">    行政运行(法院)</t>
  </si>
  <si>
    <t xml:space="preserve">    一般行政管理事务(法院)</t>
  </si>
  <si>
    <t xml:space="preserve">  司法</t>
  </si>
  <si>
    <t xml:space="preserve">    行政运行(司法)</t>
  </si>
  <si>
    <t xml:space="preserve">    一般行政管理事务(司法)</t>
  </si>
  <si>
    <t xml:space="preserve">    事业运行(司法)</t>
  </si>
  <si>
    <t>四、教育支出</t>
  </si>
  <si>
    <t xml:space="preserve">  教育管理事务</t>
  </si>
  <si>
    <t xml:space="preserve">    行政运行(教育)</t>
  </si>
  <si>
    <t xml:space="preserve">    其他教育管理事务支出</t>
  </si>
  <si>
    <t xml:space="preserve">  普通教育</t>
  </si>
  <si>
    <t xml:space="preserve">    学前教育</t>
  </si>
  <si>
    <t>提前19年支持学前教育发展中央资金157万元等</t>
  </si>
  <si>
    <t xml:space="preserve">    小学教育</t>
  </si>
  <si>
    <t xml:space="preserve">    初中教育</t>
  </si>
  <si>
    <t xml:space="preserve">    高中教育</t>
  </si>
  <si>
    <t xml:space="preserve"> 提前19年改善高中办学条件中央补助资金157万元、提前19年教育、文化民生政策市级配套资金的通知26万元</t>
  </si>
  <si>
    <t xml:space="preserve">    其他普通教育支出</t>
  </si>
  <si>
    <t xml:space="preserve">  职业教育</t>
  </si>
  <si>
    <t xml:space="preserve">    中专教育</t>
  </si>
  <si>
    <t xml:space="preserve">    技校教育</t>
  </si>
  <si>
    <t xml:space="preserve">    职业高中教育</t>
  </si>
  <si>
    <t xml:space="preserve">   初等职业教育</t>
  </si>
  <si>
    <t xml:space="preserve">    其他职业教育支出</t>
  </si>
  <si>
    <t xml:space="preserve">  成人教育</t>
  </si>
  <si>
    <t xml:space="preserve">    其他成人教育支出</t>
  </si>
  <si>
    <t xml:space="preserve">  广播电视教育</t>
  </si>
  <si>
    <t xml:space="preserve">    广播电视学校</t>
  </si>
  <si>
    <t xml:space="preserve">  特殊教育</t>
  </si>
  <si>
    <t xml:space="preserve">    特殊学校教育</t>
  </si>
  <si>
    <t xml:space="preserve">  进修及培训</t>
  </si>
  <si>
    <t xml:space="preserve">    教师进修</t>
  </si>
  <si>
    <t xml:space="preserve">    干部教育</t>
  </si>
  <si>
    <t>党校建经费16万元。</t>
  </si>
  <si>
    <t xml:space="preserve">    其他进修及培训</t>
  </si>
  <si>
    <t xml:space="preserve">   教育附加费安排的支出</t>
  </si>
  <si>
    <t xml:space="preserve">      其他教育附加费安排的支出</t>
  </si>
  <si>
    <t xml:space="preserve">   其他教育支出</t>
  </si>
  <si>
    <t xml:space="preserve">       其他教育支出</t>
  </si>
  <si>
    <t>五、科学技术支出</t>
  </si>
  <si>
    <t xml:space="preserve">  科学技术管理事务</t>
  </si>
  <si>
    <t xml:space="preserve">    行政运行(科学技术)</t>
  </si>
  <si>
    <t xml:space="preserve">    一般行政管理事务</t>
  </si>
  <si>
    <t xml:space="preserve">    其他科学技术管理事务支出</t>
  </si>
  <si>
    <t xml:space="preserve">  技术研究与开发</t>
  </si>
  <si>
    <t xml:space="preserve">    其他技术研究与开发支出</t>
  </si>
  <si>
    <t xml:space="preserve">  其他科学技术支出</t>
  </si>
  <si>
    <t xml:space="preserve">    其他科学技术支出</t>
  </si>
  <si>
    <t>科技研发经费867万元。</t>
  </si>
  <si>
    <t>六、文化旅游体育与传媒支出</t>
  </si>
  <si>
    <t xml:space="preserve">  文化和旅游</t>
  </si>
  <si>
    <t xml:space="preserve">    行政运行</t>
  </si>
  <si>
    <t xml:space="preserve">    文化创作与保护</t>
  </si>
  <si>
    <t xml:space="preserve">    文化市场管理</t>
  </si>
  <si>
    <t xml:space="preserve">    其他文化支出</t>
  </si>
  <si>
    <t xml:space="preserve">  文物</t>
  </si>
  <si>
    <t xml:space="preserve">    行政运行(文物)</t>
  </si>
  <si>
    <t xml:space="preserve">    文物保护</t>
  </si>
  <si>
    <t xml:space="preserve">    博物馆</t>
  </si>
  <si>
    <t xml:space="preserve">  体育</t>
  </si>
  <si>
    <t xml:space="preserve">    体育场馆</t>
  </si>
  <si>
    <t xml:space="preserve">    群众体育</t>
  </si>
  <si>
    <t xml:space="preserve">  新闻出版广播影视</t>
  </si>
  <si>
    <t xml:space="preserve">    广播</t>
  </si>
  <si>
    <t xml:space="preserve">    新闻通讯</t>
  </si>
  <si>
    <t xml:space="preserve">    其他新闻出版广播影视支出</t>
  </si>
  <si>
    <t xml:space="preserve">  其他文化体育与传媒支出</t>
  </si>
  <si>
    <t xml:space="preserve">    其他文化体育与传媒支出</t>
  </si>
  <si>
    <t>七、社会保障和就业支出</t>
  </si>
  <si>
    <t xml:space="preserve">  人力资源和社会保障管理事务</t>
  </si>
  <si>
    <t xml:space="preserve">    行政运行(人力资源和社会保障)</t>
  </si>
  <si>
    <t xml:space="preserve">    一般行政管理事务（人力资源和社会保障管理事务）</t>
  </si>
  <si>
    <t xml:space="preserve">    其他人力资源和社会保障管理事务支出</t>
  </si>
  <si>
    <t xml:space="preserve">  民政管理事务</t>
  </si>
  <si>
    <t xml:space="preserve">    行政运行(民政)</t>
  </si>
  <si>
    <t xml:space="preserve">    老龄事务</t>
  </si>
  <si>
    <t xml:space="preserve">    民间组织管理</t>
  </si>
  <si>
    <t xml:space="preserve">    行政区划和地名管理</t>
  </si>
  <si>
    <t xml:space="preserve">    基层政权和社区建设</t>
  </si>
  <si>
    <t xml:space="preserve">  行政事业单位离退休</t>
  </si>
  <si>
    <t xml:space="preserve">    归口管理的行政单位离退休</t>
  </si>
  <si>
    <t xml:space="preserve">    事业单位离退休</t>
  </si>
  <si>
    <t xml:space="preserve">    未归口管理的行政单位离退休</t>
  </si>
  <si>
    <t xml:space="preserve">    机关事业单位基本养老保险缴费支出</t>
  </si>
  <si>
    <t xml:space="preserve">    对机关事业单位基本养老保险基金的补助</t>
  </si>
  <si>
    <t xml:space="preserve">    其他行政事业单位离退休</t>
  </si>
  <si>
    <t xml:space="preserve">  就业补助</t>
  </si>
  <si>
    <t xml:space="preserve">    其他就业补助支出</t>
  </si>
  <si>
    <t xml:space="preserve">  抚恤</t>
  </si>
  <si>
    <t xml:space="preserve">    优抚事业单位支出</t>
  </si>
  <si>
    <t xml:space="preserve">    义务兵优待金</t>
  </si>
  <si>
    <t>自主就业退役士兵一次性经济补助145万元</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</si>
  <si>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</si>
  <si>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</si>
  <si>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</si>
  <si>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</si>
  <si>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</si>
  <si>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</si>
  <si>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</si>
  <si>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</si>
  <si>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散居孤儿生活保障配套资金18万元。</t>
  </si>
  <si>
    <t xml:space="preserve">    老年福利</t>
  </si>
  <si>
    <t xml:space="preserve">    社会福利事业单位</t>
  </si>
  <si>
    <t xml:space="preserve">    其他社会福利支出</t>
  </si>
  <si>
    <t xml:space="preserve">  残疾人事业</t>
  </si>
  <si>
    <t xml:space="preserve">    行政运行(残疾人)</t>
  </si>
  <si>
    <t xml:space="preserve">    残疾人康复</t>
  </si>
  <si>
    <t xml:space="preserve">    残疾人就业和扶贫</t>
  </si>
  <si>
    <t xml:space="preserve">    残疾人生活和护理补贴</t>
  </si>
  <si>
    <t xml:space="preserve">    其他残疾人事业支出</t>
  </si>
  <si>
    <t xml:space="preserve">  自然灾害生活救助</t>
  </si>
  <si>
    <t xml:space="preserve">    地方自然灾害生活补助</t>
  </si>
  <si>
    <t xml:space="preserve">  红十字事业</t>
  </si>
  <si>
    <t xml:space="preserve">    行政运行(红十字)</t>
  </si>
  <si>
    <t xml:space="preserve">  最低生活保障</t>
  </si>
  <si>
    <t xml:space="preserve">    城市最低生活保障金支出</t>
  </si>
  <si>
    <t>城乡低保资金300万元。</t>
  </si>
  <si>
    <t xml:space="preserve">  临时救助</t>
  </si>
  <si>
    <t xml:space="preserve">    临时救助支出</t>
  </si>
  <si>
    <t xml:space="preserve">    流浪乞讨人员救助</t>
  </si>
  <si>
    <t xml:space="preserve">  特困人员供养</t>
  </si>
  <si>
    <t xml:space="preserve">    农村特困人员供养支出</t>
  </si>
  <si>
    <t xml:space="preserve">  财政对基本养老保险基金的补助</t>
  </si>
  <si>
    <t xml:space="preserve">    财政对城乡居民基本养老保险基金的补助</t>
  </si>
  <si>
    <t xml:space="preserve">    财政对其他基本养老保险基金的补助</t>
  </si>
  <si>
    <t>国有集体企业改制职工养老金、滞纳金等资金350万元</t>
  </si>
  <si>
    <t xml:space="preserve">  其他社会保障和就业支出</t>
  </si>
  <si>
    <t xml:space="preserve">    其他社会保障和就业支出</t>
  </si>
  <si>
    <t>八、卫生健康支出</t>
  </si>
  <si>
    <t xml:space="preserve">  医疗卫生管理事务</t>
  </si>
  <si>
    <t xml:space="preserve">    行政运行(医疗卫生)</t>
  </si>
  <si>
    <t xml:space="preserve">    一般行政管理事务(医疗卫生)</t>
  </si>
  <si>
    <t xml:space="preserve">    其他医疗卫生管理事务支出</t>
  </si>
  <si>
    <t xml:space="preserve">  公立医院</t>
  </si>
  <si>
    <t xml:space="preserve">    综合医院</t>
  </si>
  <si>
    <t>公立医院改革药品零差率财政补助资金100万元。</t>
  </si>
  <si>
    <t xml:space="preserve">    中医（民族）医院</t>
  </si>
  <si>
    <t xml:space="preserve">    其他专科医院</t>
  </si>
  <si>
    <t xml:space="preserve">    其他公立医院支出</t>
  </si>
  <si>
    <t xml:space="preserve">  基层医疗卫生机构</t>
  </si>
  <si>
    <t xml:space="preserve">     乡镇卫生院</t>
  </si>
  <si>
    <t xml:space="preserve">    其他基层医疗卫生机构支出</t>
  </si>
  <si>
    <t>乡镇卫生院改革药品零差率财政补助资金99万元。</t>
  </si>
  <si>
    <t xml:space="preserve">  公共卫生</t>
  </si>
  <si>
    <t xml:space="preserve">    疾病预防控制机构</t>
  </si>
  <si>
    <t xml:space="preserve">    卫生监督机构</t>
  </si>
  <si>
    <t xml:space="preserve">    妇幼保健机构</t>
  </si>
  <si>
    <t xml:space="preserve">    基本公共卫生服务</t>
  </si>
  <si>
    <t>基本公共卫生项目县级44.2665万元。</t>
  </si>
  <si>
    <t xml:space="preserve">    重大公共卫生专项</t>
  </si>
  <si>
    <t xml:space="preserve">  中医药</t>
  </si>
  <si>
    <t xml:space="preserve">    中医（民族医）药专项</t>
  </si>
  <si>
    <t xml:space="preserve">  计划生育事务</t>
  </si>
  <si>
    <t xml:space="preserve">    计划生育服务</t>
  </si>
  <si>
    <t xml:space="preserve">    其他计划生育事务支出</t>
  </si>
  <si>
    <t xml:space="preserve">  食品和药品监督管理事务</t>
  </si>
  <si>
    <t xml:space="preserve">    行政运行(食品和药品监督)</t>
  </si>
  <si>
    <t>食品安全经费55.5万元。</t>
  </si>
  <si>
    <t xml:space="preserve">    药品事务</t>
  </si>
  <si>
    <t xml:space="preserve">    医疗器械事务</t>
  </si>
  <si>
    <t xml:space="preserve">    食品安全事务</t>
  </si>
  <si>
    <t xml:space="preserve">    事业运行(食品和药品监督)</t>
  </si>
  <si>
    <t xml:space="preserve">    其他食品和药品监督管理事务支出</t>
  </si>
  <si>
    <t xml:space="preserve">  财政对基本医疗保险基金的补助</t>
  </si>
  <si>
    <t xml:space="preserve">    财政对职工基本医疗保险基金的补助</t>
  </si>
  <si>
    <t>离休干部医药费230万元。</t>
  </si>
  <si>
    <t xml:space="preserve">    财政对城乡居民基本医疗保险基金的补助</t>
  </si>
  <si>
    <t xml:space="preserve">    财政对新型农村合作医疗基金的补助</t>
  </si>
  <si>
    <t xml:space="preserve">   财政对其他基本医疗保险基金的补助</t>
  </si>
  <si>
    <t xml:space="preserve">  医疗救助</t>
  </si>
  <si>
    <t xml:space="preserve">    城乡医疗救助</t>
  </si>
  <si>
    <t xml:space="preserve">    疾病应急救助</t>
  </si>
  <si>
    <t xml:space="preserve">  优抚对象医疗补助</t>
  </si>
  <si>
    <t xml:space="preserve">      优抚对象医疗补助</t>
  </si>
  <si>
    <t xml:space="preserve">  其他医疗卫生与计划生育支出</t>
  </si>
  <si>
    <t xml:space="preserve">    其他医疗卫生与计划生育支出</t>
  </si>
  <si>
    <t>九、节能环保支出</t>
  </si>
  <si>
    <t xml:space="preserve">  环境保护管理事务</t>
  </si>
  <si>
    <t xml:space="preserve">    行政运行(环境保护)</t>
  </si>
  <si>
    <t xml:space="preserve">    其他环境保护管理事务支出</t>
  </si>
  <si>
    <t xml:space="preserve">  污染防治</t>
  </si>
  <si>
    <t xml:space="preserve">    大气</t>
  </si>
  <si>
    <t xml:space="preserve">    水体</t>
  </si>
  <si>
    <t xml:space="preserve">    污染防治支出</t>
  </si>
  <si>
    <t xml:space="preserve">    其他污染防治支出</t>
  </si>
  <si>
    <t xml:space="preserve">    天然林保护</t>
  </si>
  <si>
    <t xml:space="preserve">      社会保险补助</t>
  </si>
  <si>
    <t xml:space="preserve">    退耕还林</t>
  </si>
  <si>
    <t xml:space="preserve">      退耕现金</t>
  </si>
  <si>
    <t xml:space="preserve">      其他退耕还林支出</t>
  </si>
  <si>
    <t xml:space="preserve">  污染减排</t>
  </si>
  <si>
    <t xml:space="preserve">    环境监测与信息</t>
  </si>
  <si>
    <t xml:space="preserve">    环境执法监察</t>
  </si>
  <si>
    <t xml:space="preserve">  能源管理事务</t>
  </si>
  <si>
    <t xml:space="preserve">     其他能源管理事务支出</t>
  </si>
  <si>
    <t>十、城乡社区支出</t>
  </si>
  <si>
    <t xml:space="preserve">  城乡社区管理事务</t>
  </si>
  <si>
    <t xml:space="preserve">    行政运行(城乡社区)</t>
  </si>
  <si>
    <t xml:space="preserve">    一般行政管理事务(城乡社区)</t>
  </si>
  <si>
    <t xml:space="preserve">    城管执法</t>
  </si>
  <si>
    <t xml:space="preserve">    住宅建设与房地产市场监管</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</si>
  <si>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</si>
  <si>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</si>
  <si>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</si>
  <si>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</si>
  <si>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</si>
  <si>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集中供热合同款260万元。</t>
  </si>
  <si>
    <t xml:space="preserve">  城乡社区环境卫生</t>
  </si>
  <si>
    <t xml:space="preserve">     城乡社区环境卫生</t>
  </si>
  <si>
    <t xml:space="preserve">  建设市场管理与监督</t>
  </si>
  <si>
    <t xml:space="preserve">    建设市场管理与监督</t>
  </si>
  <si>
    <t>十一、农林水支出</t>
  </si>
  <si>
    <t xml:space="preserve">  农业</t>
  </si>
  <si>
    <t xml:space="preserve">    行政运行(农业)</t>
  </si>
  <si>
    <t xml:space="preserve">    一般行政管理事务(农业)</t>
  </si>
  <si>
    <t xml:space="preserve">    事业运行(农业)</t>
  </si>
  <si>
    <t xml:space="preserve">    科技转化与推广服务</t>
  </si>
  <si>
    <t xml:space="preserve"> </t>
  </si>
  <si>
    <t xml:space="preserve">    病虫害控制</t>
  </si>
  <si>
    <t>动物疫病防控经费4万元。</t>
  </si>
  <si>
    <t xml:space="preserve">    统计监测与信息服务</t>
  </si>
  <si>
    <t>土地确权项目资金45万元。</t>
  </si>
  <si>
    <t xml:space="preserve">    农业生产支持补贴</t>
  </si>
  <si>
    <t xml:space="preserve">    农业资源保护修复与利用</t>
  </si>
  <si>
    <t xml:space="preserve">    农业组织化与产业化经营</t>
  </si>
  <si>
    <t xml:space="preserve">    农产品加工与促销</t>
  </si>
  <si>
    <t xml:space="preserve">    农村道路建设</t>
  </si>
  <si>
    <t xml:space="preserve">    对高校毕业生到基层任职补助</t>
  </si>
  <si>
    <t xml:space="preserve">    其他农业支出</t>
  </si>
  <si>
    <t>其他支农项目693万元。</t>
  </si>
  <si>
    <t xml:space="preserve">  林业</t>
  </si>
  <si>
    <t xml:space="preserve">    行政运行(林业)</t>
  </si>
  <si>
    <t xml:space="preserve">    一般行政管理事务（林业）</t>
  </si>
  <si>
    <t xml:space="preserve">    森林培育</t>
  </si>
  <si>
    <t>森林培育141万元。</t>
  </si>
  <si>
    <t xml:space="preserve">    林业技术推广</t>
  </si>
  <si>
    <t xml:space="preserve">    林业事业机构</t>
  </si>
  <si>
    <t xml:space="preserve">    森林资源管理</t>
  </si>
  <si>
    <t xml:space="preserve">    森林生态效益补偿</t>
  </si>
  <si>
    <t xml:space="preserve">    自然保护区等管理</t>
  </si>
  <si>
    <t xml:space="preserve">    动植物保护</t>
  </si>
  <si>
    <t xml:space="preserve">    林业执法与监督</t>
  </si>
  <si>
    <t xml:space="preserve">    林业检疫检测</t>
  </si>
  <si>
    <t xml:space="preserve">    林业工程与项目管理</t>
  </si>
  <si>
    <t xml:space="preserve">    林业防灾减灾</t>
  </si>
  <si>
    <t>林业防火经费18万元</t>
  </si>
  <si>
    <t xml:space="preserve">    其他林业和草原支出</t>
  </si>
  <si>
    <t xml:space="preserve">  水利</t>
  </si>
  <si>
    <t xml:space="preserve">    行政运行(水利)</t>
  </si>
  <si>
    <t xml:space="preserve">    水土保持</t>
  </si>
  <si>
    <t xml:space="preserve">    水资源节约管理与保护</t>
  </si>
  <si>
    <t xml:space="preserve">    防汛</t>
  </si>
  <si>
    <t>防汛抗旱工作经费18万元。</t>
  </si>
  <si>
    <t xml:space="preserve">    大中型水库移民后期扶持专项支出</t>
  </si>
  <si>
    <t xml:space="preserve">      江河湖库水系综合整治</t>
  </si>
  <si>
    <t xml:space="preserve">    水利建设移民支出</t>
  </si>
  <si>
    <t xml:space="preserve">    其他水利支出</t>
  </si>
  <si>
    <t xml:space="preserve">  扶贫</t>
  </si>
  <si>
    <t xml:space="preserve">    行政运行(扶贫)</t>
  </si>
  <si>
    <t xml:space="preserve">    社会发展</t>
  </si>
  <si>
    <t xml:space="preserve">    扶贫贷款奖补和贴息</t>
  </si>
  <si>
    <t xml:space="preserve">    其他扶贫支出</t>
  </si>
  <si>
    <t xml:space="preserve">  农业综合开发</t>
  </si>
  <si>
    <t xml:space="preserve">    土地治理</t>
  </si>
  <si>
    <t xml:space="preserve">    产业化发展</t>
  </si>
  <si>
    <t xml:space="preserve">    其他农业综合开发支出</t>
  </si>
  <si>
    <t xml:space="preserve">  农村综合改革</t>
  </si>
  <si>
    <t xml:space="preserve">    对村级一事一议的补助</t>
  </si>
  <si>
    <t xml:space="preserve">    对村集体经济组织的补助支出</t>
  </si>
  <si>
    <t xml:space="preserve">  普惠金融发展支出</t>
  </si>
  <si>
    <t xml:space="preserve">    支持农村金融发展支出</t>
  </si>
  <si>
    <t xml:space="preserve">    农业保险保费补贴</t>
  </si>
  <si>
    <t>农业保险补贴42万元。</t>
  </si>
  <si>
    <t xml:space="preserve">  其他农林水支出</t>
  </si>
  <si>
    <t xml:space="preserve">    其他农林水支出</t>
  </si>
  <si>
    <t>十二、交通运输支出</t>
  </si>
  <si>
    <t xml:space="preserve">  公路水路运输</t>
  </si>
  <si>
    <t xml:space="preserve">    行政运行(公路水路运输)</t>
  </si>
  <si>
    <t xml:space="preserve">    水路运输管理支出</t>
  </si>
  <si>
    <t xml:space="preserve">    其他公路水路运输支出</t>
  </si>
  <si>
    <t xml:space="preserve">  铁路运输</t>
  </si>
  <si>
    <t xml:space="preserve">    其他铁路运输支出</t>
  </si>
  <si>
    <t xml:space="preserve">  民用航空运输</t>
  </si>
  <si>
    <t xml:space="preserve">    其他民用航空运输支出</t>
  </si>
  <si>
    <t xml:space="preserve">  成品油价格改革对交通运输的补贴</t>
  </si>
  <si>
    <t xml:space="preserve">    对城市公交的补贴</t>
  </si>
  <si>
    <t>2019年度城市公共交通财政补贴项目108万元。</t>
  </si>
  <si>
    <t xml:space="preserve">    对出租车的补贴</t>
  </si>
  <si>
    <t xml:space="preserve">  车辆购置税支出</t>
  </si>
  <si>
    <t xml:space="preserve">     车辆购置税用于农村公路建设支出</t>
  </si>
  <si>
    <t xml:space="preserve">  其他交通运输支出</t>
  </si>
  <si>
    <t xml:space="preserve">    公共交通运营补助</t>
  </si>
  <si>
    <t>十三、资源勘探信息等支出</t>
  </si>
  <si>
    <t xml:space="preserve">  资源勘探开发</t>
  </si>
  <si>
    <t xml:space="preserve">    行政运行(资源勘探)</t>
  </si>
  <si>
    <t xml:space="preserve">    一般行政管理事务(资源勘探)</t>
  </si>
  <si>
    <t xml:space="preserve">    其他资源勘探业支出</t>
  </si>
  <si>
    <t xml:space="preserve">  制造业</t>
  </si>
  <si>
    <t xml:space="preserve">    行政运行(制造业)</t>
  </si>
  <si>
    <t xml:space="preserve">  国有资产监管</t>
  </si>
  <si>
    <t xml:space="preserve">    行政运行(国有资产监管)</t>
  </si>
  <si>
    <t xml:space="preserve">    其他国有资产监管支出</t>
  </si>
  <si>
    <t xml:space="preserve">  支持中小企业发展和管理支出</t>
  </si>
  <si>
    <t xml:space="preserve">    行政运行(支持中小企业发展和管理)</t>
  </si>
  <si>
    <t xml:space="preserve">    一般行政管理事务（支持中小企业发展和管理）</t>
  </si>
  <si>
    <t xml:space="preserve">    中小企业发展专项</t>
  </si>
  <si>
    <t xml:space="preserve">   其他支持中小企业发展和管理支出</t>
  </si>
  <si>
    <t>十四、商业服务业等支出</t>
  </si>
  <si>
    <t xml:space="preserve">  商业流通事务</t>
  </si>
  <si>
    <t xml:space="preserve">    行政运行(商业流通)</t>
  </si>
  <si>
    <t xml:space="preserve">    其他商业流通事务支出</t>
  </si>
  <si>
    <t xml:space="preserve">  涉外发展服务支出</t>
  </si>
  <si>
    <t xml:space="preserve">    其他涉外发展服务支出</t>
  </si>
  <si>
    <t xml:space="preserve">  金融部门行政支出</t>
  </si>
  <si>
    <t xml:space="preserve">  其他金融支出</t>
  </si>
  <si>
    <t xml:space="preserve">    其他金融支出</t>
  </si>
  <si>
    <t>十六、自然资源海洋气象等支出</t>
  </si>
  <si>
    <t xml:space="preserve">  国土资源事务</t>
  </si>
  <si>
    <t xml:space="preserve">    行政运行(国土资源)</t>
  </si>
  <si>
    <t xml:space="preserve">    地质灾害防治</t>
  </si>
  <si>
    <t xml:space="preserve">    其他国土资源事务支出</t>
  </si>
  <si>
    <t xml:space="preserve">  地震事务</t>
  </si>
  <si>
    <t xml:space="preserve">    行政运行（地震事务）</t>
  </si>
  <si>
    <t xml:space="preserve">    其他地震事务支出</t>
  </si>
  <si>
    <t xml:space="preserve">  气象事务</t>
  </si>
  <si>
    <t xml:space="preserve">    气象事业机构</t>
  </si>
  <si>
    <t xml:space="preserve">    其他气象事务支出</t>
  </si>
  <si>
    <t xml:space="preserve">  保障性安居工程支出</t>
  </si>
  <si>
    <t xml:space="preserve">    农村危房改造</t>
  </si>
  <si>
    <t xml:space="preserve">    保障性住房租金补贴</t>
  </si>
  <si>
    <t xml:space="preserve">    其他保障性安居工程支出</t>
  </si>
  <si>
    <t xml:space="preserve">  住房改革支出</t>
  </si>
  <si>
    <t xml:space="preserve">    住房公积金</t>
  </si>
  <si>
    <t>2019年住房公积金2376万元</t>
  </si>
  <si>
    <t xml:space="preserve">  城乡社区住宅</t>
  </si>
  <si>
    <t xml:space="preserve">    其他城乡社区住宅支出</t>
  </si>
  <si>
    <t>十八、粮油物资储备支出</t>
  </si>
  <si>
    <t xml:space="preserve">  粮油事务</t>
  </si>
  <si>
    <t xml:space="preserve">    行政运行(粮油)</t>
  </si>
  <si>
    <t xml:space="preserve">  物资事务</t>
  </si>
  <si>
    <t xml:space="preserve">    行政运行（物资事务）</t>
  </si>
  <si>
    <t>十九、灾害防治及应急管理支出</t>
  </si>
  <si>
    <t xml:space="preserve">   应急管理事务</t>
  </si>
  <si>
    <t xml:space="preserve">      行政运行</t>
  </si>
  <si>
    <t xml:space="preserve">      安全监管</t>
  </si>
  <si>
    <t xml:space="preserve">      事业运行</t>
  </si>
  <si>
    <t xml:space="preserve">   消防事务</t>
  </si>
  <si>
    <t xml:space="preserve">      其他消防事务支出</t>
  </si>
  <si>
    <t>二十、预备费</t>
  </si>
  <si>
    <t>二十一、其他支出</t>
  </si>
  <si>
    <t xml:space="preserve">  年初预留</t>
  </si>
  <si>
    <t>2019年个人调资事项，即基本工资。</t>
  </si>
  <si>
    <t>财政投资评审费用300万元</t>
  </si>
  <si>
    <t>二十二、债务还本支出</t>
  </si>
  <si>
    <t xml:space="preserve">    地方政府一般债务还本支出</t>
  </si>
  <si>
    <t xml:space="preserve">      地方政府一般债券还本支出</t>
  </si>
  <si>
    <t>政府债务到期本金5610万元。</t>
  </si>
  <si>
    <t>二十三、债务付息支出</t>
  </si>
  <si>
    <t xml:space="preserve">    地方政府一般债务付息支出</t>
  </si>
  <si>
    <t xml:space="preserve">      地方政府一般债券付息支出</t>
  </si>
  <si>
    <t>政府债务到期利息8828万元。</t>
  </si>
  <si>
    <t>方山县二○一九年一般公共预算支出分经济科目表（草案）</t>
  </si>
  <si>
    <t>表十二</t>
  </si>
  <si>
    <t>经济科目名称</t>
  </si>
  <si>
    <t>一、机关工资福利支出</t>
  </si>
  <si>
    <t>二、机关商品和服务支出</t>
  </si>
  <si>
    <t>三、机关资本性支出（一）</t>
  </si>
  <si>
    <t>四、机关资本性支出（二）</t>
  </si>
  <si>
    <t>五、对事业单位经常性补助</t>
  </si>
  <si>
    <t>六、对事业单位资本性补助</t>
  </si>
  <si>
    <t>七、对企业补助</t>
  </si>
  <si>
    <t>八、对个人和家庭补助</t>
  </si>
  <si>
    <t>九、债务利息及费用支出</t>
  </si>
  <si>
    <t>十、预备费及预留</t>
  </si>
  <si>
    <t>方山县二0一九年政府性基金收入完成情况表</t>
  </si>
  <si>
    <t>表十三</t>
  </si>
  <si>
    <t>为2017年完成%</t>
  </si>
  <si>
    <t>转移性收入</t>
  </si>
  <si>
    <t xml:space="preserve">  政府性基金补助收入</t>
  </si>
  <si>
    <t>方山县二○一九年政府性基金预算支出（草案）</t>
  </si>
  <si>
    <t>表十四</t>
  </si>
  <si>
    <t>2018年
预算数</t>
  </si>
  <si>
    <t>2019年
预算数</t>
  </si>
  <si>
    <t>为2017年预算数%</t>
  </si>
  <si>
    <t>一、社会保障和就业支出</t>
  </si>
  <si>
    <t xml:space="preserve">    大中型水库移民后期扶持基金支出</t>
  </si>
  <si>
    <t xml:space="preserve">      基础设施建设和经济发展</t>
  </si>
  <si>
    <t>二、交通运输支出</t>
  </si>
  <si>
    <t xml:space="preserve">    民航发展基金支出</t>
  </si>
  <si>
    <t xml:space="preserve">      民航机场建设</t>
  </si>
  <si>
    <t>三、城乡社区支出</t>
  </si>
  <si>
    <t xml:space="preserve">    国有土地使用权出让收入及对应专项债务收入安排的支出</t>
  </si>
  <si>
    <t xml:space="preserve">      其他国有土地使用权出让收入安排的支出</t>
  </si>
  <si>
    <t xml:space="preserve">    城市公用事业附加及对应专项债务收入安排的支出</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</si>
  <si>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</si>
  <si>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</si>
  <si>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</si>
  <si>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</si>
  <si>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</si>
  <si>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</si>
  <si>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</si>
  <si>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四、其他支出</t>
  </si>
  <si>
    <t xml:space="preserve">    其他政府性基金及对应专项债务收入安排的支出</t>
  </si>
  <si>
    <t xml:space="preserve">    彩票发行销售机构业务费安排的支出</t>
  </si>
  <si>
    <t xml:space="preserve">    彩票公益金及对应专项债务收入安排的支出</t>
  </si>
  <si>
    <t>五、债务付息支出</t>
  </si>
  <si>
    <t xml:space="preserve">  政府性基金支出预算合计</t>
  </si>
  <si>
    <t>二0一九年社会保险基金预算收支表</t>
  </si>
  <si>
    <t>表十五</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</si>
  <si>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</si>
  <si>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</si>
  <si>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</si>
  <si>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</si>
  <si>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</si>
  <si>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</si>
  <si>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</si>
  <si>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</si>
  <si>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</si>
  <si>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</si>
  <si>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其中： 1、保险费收入</t>
  </si>
  <si>
    <t>2、利息收入</t>
  </si>
  <si>
    <t>3、财政补贴收入</t>
  </si>
  <si>
    <t>4、委托投资收益</t>
  </si>
  <si>
    <t>×</t>
  </si>
  <si>
    <t>5、其他收入</t>
  </si>
  <si>
    <t>6、转移收入</t>
  </si>
  <si>
    <t>7、中央调剂资金收入（省级专用）</t>
  </si>
  <si>
    <t>8、中央调剂基金收入（中央专用)</t>
  </si>
  <si>
    <t>二、支出</t>
  </si>
  <si>
    <t>其中： 1、社会保险待遇支出</t>
  </si>
  <si>
    <t>2、其他支出</t>
  </si>
  <si>
    <t>3、转移支出</t>
  </si>
  <si>
    <t>4、中央调剂基金支出（中央专用）</t>
  </si>
  <si>
    <t>5、中央调剂资金支出（省级专用）</t>
  </si>
  <si>
    <t>三、本年收支结余</t>
  </si>
  <si>
    <t>四、年末滚存结余</t>
  </si>
  <si>
    <t>二0一九年社会保险基金预算收入表</t>
  </si>
  <si>
    <t>表十六</t>
  </si>
  <si>
    <t>二0一九年社会保险基金预算支出表</t>
  </si>
  <si>
    <t>表十七</t>
  </si>
  <si>
    <t>项  目</t>
  </si>
  <si>
    <t>支  出</t>
  </si>
  <si>
    <t>方山县二○一九年国有资本经营预算收入（草案）</t>
  </si>
  <si>
    <t>表十八</t>
  </si>
  <si>
    <t>2019年预算为2018年完成%</t>
  </si>
  <si>
    <t>国有资本经营预算收入合计</t>
  </si>
  <si>
    <t>国有资本经营预算收入总计</t>
  </si>
  <si>
    <t>方山县二○一九年国有资本经营预算支出（草案）</t>
  </si>
  <si>
    <t>表十九</t>
  </si>
  <si>
    <t>2018年备案预算数</t>
  </si>
  <si>
    <t>一、解决历史遗留问题及改革成本支出</t>
  </si>
  <si>
    <t>二、国有企业资本金注入</t>
  </si>
  <si>
    <t>三、国有企业政策性补贴</t>
  </si>
  <si>
    <t>四、金融国有资本经营预算支出</t>
  </si>
  <si>
    <t>五、其他国有资本经营预算支出</t>
  </si>
  <si>
    <t>国有资本经营预算支出合计</t>
  </si>
  <si>
    <t>转移性支出</t>
  </si>
  <si>
    <t xml:space="preserve">  国有资本经营预算调出资金</t>
  </si>
  <si>
    <t>国有资本经营预算支出总计</t>
  </si>
  <si>
    <t>方山县二Ｏ一七年和二Ｏ一八年政府一般债务限额和余额情况表</t>
  </si>
  <si>
    <t>表二十</t>
  </si>
  <si>
    <t>金额</t>
  </si>
  <si>
    <t>2017年末一般债务余额</t>
  </si>
  <si>
    <t>2018年末一般债务限额</t>
  </si>
  <si>
    <t>方山县二Ｏ一七年和二Ｏ一八年政府专项债务限额和余额情况表</t>
  </si>
  <si>
    <t>表二十一</t>
  </si>
  <si>
    <t>2017年末专项债务余额</t>
  </si>
  <si>
    <t>2018年末专项债务限额</t>
  </si>
  <si>
    <t>二○一九年重点项目支出预算表（一般公共预算）</t>
  </si>
  <si>
    <t>表二十二</t>
  </si>
  <si>
    <t>项目名称</t>
  </si>
  <si>
    <t>主管
部门</t>
  </si>
  <si>
    <t>拟安排</t>
  </si>
  <si>
    <t>其中</t>
  </si>
  <si>
    <t>政策依据及支出内容</t>
  </si>
  <si>
    <t>绩效目标</t>
  </si>
  <si>
    <t>列支科目</t>
  </si>
  <si>
    <t>县本级</t>
  </si>
  <si>
    <t>转移支出</t>
  </si>
  <si>
    <t>科目名称</t>
  </si>
  <si>
    <t>科目代码</t>
  </si>
  <si>
    <t>脱贫攻坚</t>
  </si>
  <si>
    <t>精准扶贫项目</t>
  </si>
  <si>
    <t>扶贫办</t>
  </si>
  <si>
    <r>
      <t>政策依据：</t>
    </r>
    <r>
      <rPr>
        <sz val="10"/>
        <rFont val="宋体"/>
        <family val="0"/>
      </rPr>
      <t xml:space="preserve">《吕梁市人民政府关于攻坚深度贫困加大财政投入若干措施的通知》（吕政发（2017）33号）
</t>
    </r>
    <r>
      <rPr>
        <b/>
        <sz val="10"/>
        <rFont val="宋体"/>
        <family val="0"/>
      </rPr>
      <t>经费安排及支出内容：</t>
    </r>
    <r>
      <rPr>
        <sz val="10"/>
        <rFont val="宋体"/>
        <family val="0"/>
      </rPr>
      <t>精准扶贫项目</t>
    </r>
  </si>
  <si>
    <t>精准扶贫配套项目</t>
  </si>
  <si>
    <t>贫困地区转移支付</t>
  </si>
  <si>
    <r>
      <t>政策依据：</t>
    </r>
    <r>
      <rPr>
        <sz val="10"/>
        <rFont val="宋体"/>
        <family val="0"/>
      </rPr>
      <t xml:space="preserve">《吕梁市人民政府关于攻坚深度贫困加大财政投入若干措施的通知》（吕政发（2017）33号）
</t>
    </r>
    <r>
      <rPr>
        <b/>
        <sz val="10"/>
        <rFont val="宋体"/>
        <family val="0"/>
      </rPr>
      <t>经费安排及支出内容：</t>
    </r>
    <r>
      <rPr>
        <sz val="10"/>
        <rFont val="宋体"/>
        <family val="0"/>
      </rPr>
      <t>（晋财农[2018]164-1号)(晋财农[2018]164-2号）、提前下达2018年中央财政专项扶贫资金</t>
    </r>
  </si>
  <si>
    <t>实现农村贫困人口稳定脱贫、摘帽县实现摘帽目标</t>
  </si>
  <si>
    <t>脱贫攻坚转移支付</t>
  </si>
  <si>
    <t>“三基”建设经费：贫困村帮扶工作队及农村第一书记经费</t>
  </si>
  <si>
    <t>组织部</t>
  </si>
  <si>
    <r>
      <t>政策依据：</t>
    </r>
    <r>
      <rPr>
        <sz val="10"/>
        <rFont val="宋体"/>
        <family val="0"/>
      </rPr>
      <t xml:space="preserve">市委组织部《关于进一步明确农村第一书记各项保障措施的通知》（吕组通字【2016】99号，保障农村第一书记及工作队员工作经费和生活、交通补助，确保基本生活和改造所需。
</t>
    </r>
    <r>
      <rPr>
        <b/>
        <sz val="10"/>
        <rFont val="宋体"/>
        <family val="0"/>
      </rPr>
      <t>经费安排及支出内容：</t>
    </r>
    <r>
      <rPr>
        <sz val="10"/>
        <rFont val="宋体"/>
        <family val="0"/>
      </rPr>
      <t>按每人按250天计算，50元/天/人，工作经费0.5万元/人/年。</t>
    </r>
  </si>
  <si>
    <t>进一步提高帮扶工作组的工作积极性，重点解决帮扶干部生房、工作和慰问贫困户、开展公益活动等。</t>
  </si>
  <si>
    <t>其他扶贫支出</t>
  </si>
  <si>
    <t>2130599</t>
  </si>
  <si>
    <t>普惠金融发展专项资金</t>
  </si>
  <si>
    <t>农业委员会</t>
  </si>
  <si>
    <r>
      <t>政策依据：</t>
    </r>
    <r>
      <rPr>
        <sz val="10"/>
        <rFont val="宋体"/>
        <family val="0"/>
      </rPr>
      <t xml:space="preserve">，关于转发财政部，普惠金融发展专项资金公路办法》的通知（吕财金发【2016】42号
</t>
    </r>
    <r>
      <rPr>
        <b/>
        <sz val="10"/>
        <rFont val="宋体"/>
        <family val="0"/>
      </rPr>
      <t>经费安排及支出内容：</t>
    </r>
    <r>
      <rPr>
        <sz val="10"/>
        <rFont val="宋体"/>
        <family val="0"/>
      </rPr>
      <t>提前下达2019年农业保险中央、省级资金</t>
    </r>
  </si>
  <si>
    <t>扶持新型农村金融机构创建，鼓励涉农贷款投放，促进农村普惠金融。</t>
  </si>
  <si>
    <t>支持农村金融发展支出</t>
  </si>
  <si>
    <t>农林水项目</t>
  </si>
  <si>
    <t>防汛抗旱工作经费</t>
  </si>
  <si>
    <t>水利局</t>
  </si>
  <si>
    <r>
      <t>政策依据：</t>
    </r>
    <r>
      <rPr>
        <sz val="10"/>
        <rFont val="宋体"/>
        <family val="0"/>
      </rPr>
      <t xml:space="preserve">《中华人民共和国防汛条例》第六章第39条“由财政部门安排的防汛经费，按照分级管理的原则，分别列入中央财政和地方财政预算。
</t>
    </r>
    <r>
      <rPr>
        <b/>
        <sz val="10"/>
        <rFont val="宋体"/>
        <family val="0"/>
      </rPr>
      <t>经费安排及支出内容：</t>
    </r>
    <r>
      <rPr>
        <sz val="10"/>
        <rFont val="宋体"/>
        <family val="0"/>
      </rPr>
      <t>我县拟安排20万元用于防汛抢险、物资储备、防汛应急、抢险队伍演练等。</t>
    </r>
  </si>
  <si>
    <t>做好防汛抗洪组织领导工作，保障人民生命财产安全和经济建设的顺利进行</t>
  </si>
  <si>
    <t>防汛</t>
  </si>
  <si>
    <t>2130314</t>
  </si>
  <si>
    <t>土地确权项目资金</t>
  </si>
  <si>
    <t>农经局</t>
  </si>
  <si>
    <r>
      <t>政策依据：</t>
    </r>
    <r>
      <rPr>
        <sz val="10"/>
        <rFont val="宋体"/>
        <family val="0"/>
      </rPr>
      <t xml:space="preserve">财政部、农业部《关于加快推进农村集体土地确权登记发证工作的通知》，要求加快农村集体土地所有权、宅基地所有权、集体建设用地所有权等确权登记工作。
</t>
    </r>
    <r>
      <rPr>
        <b/>
        <sz val="10"/>
        <rFont val="宋体"/>
        <family val="0"/>
      </rPr>
      <t>经费安排及支出内容：</t>
    </r>
    <r>
      <rPr>
        <sz val="10"/>
        <rFont val="宋体"/>
        <family val="0"/>
      </rPr>
      <t>我县拟安排45万元用于确权登记工作</t>
    </r>
  </si>
  <si>
    <t>按省要求完成土地确权工作，全面查清农村土地使用权、宅基地使用权及其地上房屋权属情况的基础上，实现凭证管地、凭证用地，落实最严格的耕地保护制度和节约用地制度，不断提高土地管理和利用水平。</t>
  </si>
  <si>
    <t>统计监测与信息服务</t>
  </si>
  <si>
    <t>2130111</t>
  </si>
  <si>
    <t>健康卫生和社会保障事业</t>
  </si>
  <si>
    <t>村卫生室实施基本药物制度</t>
  </si>
  <si>
    <t>县卫计委</t>
  </si>
  <si>
    <r>
      <t>政策依据：</t>
    </r>
    <r>
      <rPr>
        <sz val="10"/>
        <rFont val="宋体"/>
        <family val="0"/>
      </rPr>
      <t xml:space="preserve">《山西省进一步深化医药卫生体制改革的意见》（晋发【2017】21号） 《山西省全面推开城市公立医院综合改革   实施意见》（晋医改办发【2017】4号），《吕梁市城市公立医院综合改革实施方案》（吕政办发[2017]52号，方财字（2015）74号
</t>
    </r>
    <r>
      <rPr>
        <b/>
        <sz val="10"/>
        <rFont val="宋体"/>
        <family val="0"/>
      </rPr>
      <t>经费安排及支出内容：</t>
    </r>
    <r>
      <rPr>
        <sz val="10"/>
        <rFont val="宋体"/>
        <family val="0"/>
      </rPr>
      <t>。</t>
    </r>
  </si>
  <si>
    <t>实行药品零差率，降低药品价格，农民就医贵的问题。</t>
  </si>
  <si>
    <t>其他医疗卫生与计划生育支出</t>
  </si>
  <si>
    <t>2109901</t>
  </si>
  <si>
    <t>乡镇卫生院药品零销售补助</t>
  </si>
  <si>
    <t>进一步落实村医补偿政策，保障169个行政村卫生室正常运转，加强卫生室阵地和确保村医队伍稳定，提升基层医疗卫生服务能力，解决农民“看病难、看病贵”的问题。</t>
  </si>
  <si>
    <t>其他基层医疗卫生机构支出</t>
  </si>
  <si>
    <t>2100399</t>
  </si>
  <si>
    <t>基本公共卫生项目</t>
  </si>
  <si>
    <r>
      <t>政策依据：根据国家卫生部和计生委、财政部、国家中医药管理局《关于做好2015年基本公共卫生服务项目工作的通知。（国卫基层发【2015】67号、省政府《关于印发山西省“十二五”期间深化医卫生体制改革规划暨实施方案的通知》（晋政发【2013】32号），免费    向城乡居民提供基本公共卫生服务</t>
    </r>
    <r>
      <rPr>
        <sz val="10"/>
        <rFont val="宋体"/>
        <family val="0"/>
      </rPr>
      <t xml:space="preserve">
</t>
    </r>
    <r>
      <rPr>
        <b/>
        <sz val="10"/>
        <rFont val="宋体"/>
        <family val="0"/>
      </rPr>
      <t>经费安排及支出内容：</t>
    </r>
    <r>
      <rPr>
        <sz val="10"/>
        <rFont val="宋体"/>
        <family val="0"/>
      </rPr>
      <t>标准为：60元/人/年，中央省市县配套比例未80% 10% 5% 5%，上级下达755万元、我县配套44.2665万元</t>
    </r>
  </si>
  <si>
    <t>对居民健康档案规划化电子建档、适龄儿童国家规划疫苗接种、65岁老年人实行体检等健康管理。</t>
  </si>
  <si>
    <t>基本公共卫生服务</t>
  </si>
  <si>
    <t>2100408</t>
  </si>
  <si>
    <t>离休干部医药费</t>
  </si>
  <si>
    <t>县人社局             县老干局</t>
  </si>
  <si>
    <r>
      <t>政策依据：</t>
    </r>
    <r>
      <rPr>
        <sz val="10"/>
        <rFont val="宋体"/>
        <family val="0"/>
      </rPr>
      <t xml:space="preserve">中共中央办公厅国务院办公厅关于转发《中央组织部国家经贸委财政部人事部劳动和社会保障卫生部关于落实离休干部离休费、医药费的意见》的通知（中办厅字[2000]61号），建立离休干部离休费、医药费保障机制和财政支持机制。
</t>
    </r>
    <r>
      <rPr>
        <b/>
        <sz val="10"/>
        <rFont val="宋体"/>
        <family val="0"/>
      </rPr>
      <t>经费安排及支出内容：</t>
    </r>
    <r>
      <rPr>
        <sz val="10"/>
        <rFont val="宋体"/>
        <family val="0"/>
      </rPr>
      <t>2019年离休干部37人，安排医药费230万元。</t>
    </r>
  </si>
  <si>
    <t>保证离休干部医药费及时报销，体现政府关怀。</t>
  </si>
  <si>
    <t>其他行政事业单位离退休支出</t>
  </si>
  <si>
    <t>2080599</t>
  </si>
  <si>
    <t>公立医院改革药品零差率财政补助资金</t>
  </si>
  <si>
    <t>卫计委</t>
  </si>
  <si>
    <r>
      <t>政策依据：《</t>
    </r>
    <r>
      <rPr>
        <sz val="10"/>
        <rFont val="宋体"/>
        <family val="0"/>
      </rPr>
      <t xml:space="preserve">山西省进一步深化医药卫生体制改革的意见》（晋发【2017】21号） 《山西省全面推开城市公立医院综合改革   实施意见》（晋医改办发【2017】4号），《吕梁市城市公立医院综合改革实施方案》（吕政办发[2017]52号，方财字（2015）74号
</t>
    </r>
    <r>
      <rPr>
        <b/>
        <sz val="10"/>
        <rFont val="宋体"/>
        <family val="0"/>
      </rPr>
      <t>经费安排及支出内容：</t>
    </r>
    <r>
      <rPr>
        <sz val="10"/>
        <rFont val="宋体"/>
        <family val="0"/>
      </rPr>
      <t>。</t>
    </r>
  </si>
  <si>
    <t>全面推进全县公立医院改革，降低药品价格，切实解决老百姓“看病贵”的问题。</t>
  </si>
  <si>
    <t>综合医院</t>
  </si>
  <si>
    <t>2100201</t>
  </si>
  <si>
    <t>社会保障和就业</t>
  </si>
  <si>
    <t>城乡医疗救助配套资金</t>
  </si>
  <si>
    <t>民政局</t>
  </si>
  <si>
    <t>政策依据：《山西省民政厅、山西省财政厅、山西省卫生厅、山西省劳动和社会保障厅给予开展城市园林救助失地工作的实施意见》（晋民字【2005】60号）,&lt;关于加快推进农村医疗救助工作的通知》（吕民字【2006】9号</t>
  </si>
  <si>
    <t>对全县城乡困难群众实行医疗救助，缓解其因病致贫、因病返贫问题。</t>
  </si>
  <si>
    <t>城乡医疗救助</t>
  </si>
  <si>
    <t>2101301</t>
  </si>
  <si>
    <t>经费安排及支出内容：按照省市县4:4:2比例负担的原则，其中我县省财政根据试点县低保对象的5%需要救助，按人均2000元计算。负担40%。2018年一季度城市低保人数4509人，我县财政需安排9.02万元；按照省市县4:4:2比例负担的原则，根据受益人数的5%计算，我县2018年一季度受益人数16918人，需安排38.1万元</t>
  </si>
  <si>
    <t>城乡居民医疗保险补助</t>
  </si>
  <si>
    <t>人社局</t>
  </si>
  <si>
    <r>
      <t xml:space="preserve">政策依据：根据吕人社字（2018）194号、吕政办函（2018）7号、晋财社【2018】26号、晋人社（2018）235号、吕财社【2018】134号、晋财社【2016】256号文件要求
</t>
    </r>
    <r>
      <rPr>
        <b/>
        <sz val="10"/>
        <rFont val="宋体"/>
        <family val="0"/>
      </rPr>
      <t>经费安排及支出内容：</t>
    </r>
    <r>
      <rPr>
        <sz val="10"/>
        <rFont val="宋体"/>
        <family val="0"/>
      </rPr>
      <t>一、 城乡居民基本医疗保险县级财政配套资金498.5904万元。二、 建档立卡贫困人口基本医疗保险县级补助875.9244万元。三、 建档立卡贫困人口补充医疗保险257.43万元</t>
    </r>
  </si>
  <si>
    <t>引导、鼓励农民参加新农合医疗保险，解决参保城乡居民看病贵的问题。</t>
  </si>
  <si>
    <t>财政对城乡居民基本医疗保险基金的补助</t>
  </si>
  <si>
    <t>2101202</t>
  </si>
  <si>
    <t>城乡居民社会养老保险补助资金</t>
  </si>
  <si>
    <t>政策依据：吕梁市政府《关于印发吕梁市建立统一的城乡居民基本养老保险制度实施方案的通知》吕政发（2014）20号，方山县人民政府《关于印发方山县建立统一的城乡居民基本养老保险制度实施方案的他通知》方政发【2014】30号，对城乡居民实行养老保险制度改革。                                                             经费安排及支出内容：安排城乡居民基本医疗保险县级财政配套资金898万元。</t>
  </si>
  <si>
    <t>引导、鼓励城乡居民参加养老保险</t>
  </si>
  <si>
    <t>基本养老金转移支付支出</t>
  </si>
  <si>
    <t>2300222</t>
  </si>
  <si>
    <t>散居孤儿生活保障市级配套资金</t>
  </si>
  <si>
    <t>市民政局</t>
  </si>
  <si>
    <r>
      <t>政策依据：</t>
    </r>
    <r>
      <rPr>
        <sz val="10"/>
        <rFont val="宋体"/>
        <family val="0"/>
      </rPr>
      <t xml:space="preserve">山西省人民政府办公厅《关于加强孤儿补助工作的实施意见》晋政办发【2011】66号，山西省民政厅《关于做好孤儿基本生活费发放工资的通知》（晋民发【2011】55号
</t>
    </r>
    <r>
      <rPr>
        <b/>
        <sz val="10"/>
        <rFont val="宋体"/>
        <family val="0"/>
      </rPr>
      <t>经费安排及支出内容：根据文件精神，散居孤儿洋芋补助为630元，</t>
    </r>
    <r>
      <rPr>
        <sz val="10"/>
        <rFont val="宋体"/>
        <family val="0"/>
      </rPr>
      <t>按照中央 省 市县300元：130元；200元，市县负担50元：150元，我县在册孤儿114人，需安排18.3万元；</t>
    </r>
  </si>
  <si>
    <t>资金落实后，为全县散居孤儿提供基本生活保障。</t>
  </si>
  <si>
    <t>儿童福利</t>
  </si>
  <si>
    <t>2081001</t>
  </si>
  <si>
    <t>优抚对象生活补助市级配套资金</t>
  </si>
  <si>
    <r>
      <t>政策依据：</t>
    </r>
    <r>
      <rPr>
        <sz val="10"/>
        <rFont val="宋体"/>
        <family val="0"/>
      </rPr>
      <t xml:space="preserve">省民政厅、财政厅、《关于调整部分优抚对象等人员抚恤和生活补助的通知》（晋民发【2017】53号），通知提高优抚人员抚恤和生活补助。
</t>
    </r>
    <r>
      <rPr>
        <b/>
        <sz val="10"/>
        <rFont val="宋体"/>
        <family val="0"/>
      </rPr>
      <t>经费安排及支出内容：按照</t>
    </r>
    <r>
      <rPr>
        <sz val="10"/>
        <rFont val="宋体"/>
        <family val="0"/>
      </rPr>
      <t>省市县4:3:3，我县需安排300万元。</t>
    </r>
  </si>
  <si>
    <t>对优抚人员和农村老党员给予生活补助，体现政府关怀。</t>
  </si>
  <si>
    <t>其他优抚支出</t>
  </si>
  <si>
    <t>2080899</t>
  </si>
  <si>
    <t>自主就业退役士兵一次性经济补助</t>
  </si>
  <si>
    <r>
      <t>政策依据：</t>
    </r>
    <r>
      <rPr>
        <sz val="10"/>
        <rFont val="宋体"/>
        <family val="0"/>
      </rPr>
      <t xml:space="preserve">根据《退役士兵安置条例》、《山西省人民政府办公厅对资助就业退役士兵一次性经济补助的通知》（晋政办发【2012】62号0
</t>
    </r>
    <r>
      <rPr>
        <b/>
        <sz val="10"/>
        <rFont val="宋体"/>
        <family val="0"/>
      </rPr>
      <t>经费安排及支出内容：根据文件精神，对选择自主就业的退役士兵应给与一下车经济补助，2018年我县退役士兵40人，按每人每年军龄4500元计算需发放自主就业金49.5万元，按照上年度省市配套40%精神，我县海需安排60%即29.7万元。</t>
    </r>
  </si>
  <si>
    <t>按期发放自主就业一次性经济补助，可使自主就业退役士兵增强就业创业的观念信心；有效保障自主就业退役士兵合法权益。</t>
  </si>
  <si>
    <t>退役士兵安置</t>
  </si>
  <si>
    <t>2080901</t>
  </si>
  <si>
    <t>2016年及2017年入伍的义务兵优待金</t>
  </si>
  <si>
    <r>
      <t>政策依据：</t>
    </r>
    <r>
      <rPr>
        <sz val="10"/>
        <rFont val="宋体"/>
        <family val="0"/>
      </rPr>
      <t xml:space="preserve">山西省人民政府、山西省军区《关于加强新形势下征兵工作的意见》（晋民发【2016】25号）
</t>
    </r>
    <r>
      <rPr>
        <b/>
        <sz val="10"/>
        <rFont val="宋体"/>
        <family val="0"/>
      </rPr>
      <t>经费安排及支出内容：</t>
    </r>
    <r>
      <rPr>
        <sz val="10"/>
        <rFont val="宋体"/>
        <family val="0"/>
      </rPr>
      <t>入伍的义务兵应给其家属发放优待金，按照上年度当地居民人均可支配收入的1.5倍发放。2017年我县居民可支配收入9119元，2016年入伍的义务兵40人，需资金54.714万元  2017年入伍的义务兵37人，需资金60.1854万元</t>
    </r>
  </si>
  <si>
    <t>入伍的义务兵应给其家属发放优待金，按照上年度当地居民人均可支配收入的1.5倍发放。</t>
  </si>
  <si>
    <t>义务兵优待金</t>
  </si>
  <si>
    <t>2080805</t>
  </si>
  <si>
    <t>国有集体企业改制职工养老金、滞纳金等</t>
  </si>
  <si>
    <t>经贸局</t>
  </si>
  <si>
    <r>
      <t>政策依据：</t>
    </r>
    <r>
      <rPr>
        <sz val="10"/>
        <rFont val="宋体"/>
        <family val="0"/>
      </rPr>
      <t xml:space="preserve">方政办纪字（2018）4号 方山县人民政府第十六次常务会议纪要安排
</t>
    </r>
    <r>
      <rPr>
        <b/>
        <sz val="10"/>
        <rFont val="宋体"/>
        <family val="0"/>
      </rPr>
      <t>经费安排及支出内容：</t>
    </r>
    <r>
      <rPr>
        <sz val="10"/>
        <rFont val="宋体"/>
        <family val="0"/>
      </rPr>
      <t>方山县人民政府第十六次常务会议纪要安排国有集体企业改制职工养老金、滞纳金等350万元</t>
    </r>
  </si>
  <si>
    <t>解决国有集体企业改制职工养老金、滞纳金问题</t>
  </si>
  <si>
    <t>农村最低生活保障金支出</t>
  </si>
  <si>
    <t>2081902</t>
  </si>
  <si>
    <t>大武镇、圪洞镇等失地生活补贴</t>
  </si>
  <si>
    <t>大武镇、圪洞镇等</t>
  </si>
  <si>
    <r>
      <t>政策依据：</t>
    </r>
    <r>
      <rPr>
        <sz val="10"/>
        <rFont val="宋体"/>
        <family val="0"/>
      </rPr>
      <t xml:space="preserve">方政办纪字（2016）46号 研究圪洞镇、大武镇失地农民生活补贴专题会议
</t>
    </r>
    <r>
      <rPr>
        <b/>
        <sz val="10"/>
        <rFont val="宋体"/>
        <family val="0"/>
      </rPr>
      <t>经费安排及支出内容：</t>
    </r>
    <r>
      <rPr>
        <sz val="10"/>
        <rFont val="宋体"/>
        <family val="0"/>
      </rPr>
      <t>圪洞镇、大武镇等失地农民生活补贴592万元</t>
    </r>
  </si>
  <si>
    <t>解决圪洞镇、大武镇等失地农民生活补贴</t>
  </si>
  <si>
    <t>教　　育</t>
  </si>
  <si>
    <t/>
  </si>
  <si>
    <t>城乡义务教育转移支付</t>
  </si>
  <si>
    <t>县教育局</t>
  </si>
  <si>
    <t>政策依据：吕梁市政府《关于印发吕梁市建立统一的城乡居民基本养老保险制度实施方案的通知》吕政发（2014）20号，方山县人民政府《关于印发方山县建立统一的城乡居民基本养老保险制度实施方案的他通知》方政发【2014】30号，对城乡居民实行养老保险制度改革。</t>
  </si>
  <si>
    <t>把城乡义务教育全面纳入公共财政保障范围，有效减轻农村家庭子女接受义务教育的经济负担。全面保障我县小学8250人、初中3205人、15名特教学生接受义务教育和保障不足百人的农村学校校正常运转。</t>
  </si>
  <si>
    <t>经费安排及支出内容：参保人员（16-59周岁）“入口”补助资金，市县人民政府给予补贴。缴100元补30元，缴200元补40元，缴300元补50元，缴400元至600元补60元，缴700元到900元补70元，缴10,0元到2000元补80元.其中：市财政对我县的补贴标准为10元/年人，剩余部分我县负担。我县参保人数18917人，需补助207.411万元。</t>
  </si>
  <si>
    <t>2300221</t>
  </si>
  <si>
    <t>文化旅游</t>
  </si>
  <si>
    <t>文物保护经费</t>
  </si>
  <si>
    <t>县文化旅游局</t>
  </si>
  <si>
    <r>
      <t>政策依据：《中华人民共和国文物保护法》第十条“县级以上人民政府应当将文物保护事业费纳入本级国民经济和社会发展规划，所需经费列入本级财政预算”。</t>
    </r>
    <r>
      <rPr>
        <sz val="10"/>
        <rFont val="宋体"/>
        <family val="0"/>
      </rPr>
      <t xml:space="preserve">
</t>
    </r>
    <r>
      <rPr>
        <b/>
        <sz val="10"/>
        <rFont val="宋体"/>
        <family val="0"/>
      </rPr>
      <t>经费安排及支出内容：</t>
    </r>
    <r>
      <rPr>
        <sz val="10"/>
        <rFont val="宋体"/>
        <family val="0"/>
      </rPr>
      <t>晋财教[2018]382-1号 提前下达2019年国家文物保护中央专项资金</t>
    </r>
  </si>
  <si>
    <t>对县级所文物进行维修，支持重点文物保护，促进文物事业发展。</t>
  </si>
  <si>
    <t>文物保护</t>
  </si>
  <si>
    <t>2070204</t>
  </si>
  <si>
    <t>城　市　维　护</t>
  </si>
  <si>
    <t>北京慧丰清轩环境投资有限公司项目</t>
  </si>
  <si>
    <t>环卫队</t>
  </si>
  <si>
    <r>
      <t>政策依据：</t>
    </r>
    <r>
      <rPr>
        <sz val="10"/>
        <rFont val="宋体"/>
        <family val="0"/>
      </rPr>
      <t xml:space="preserve">北京慧丰清轩环境投资有限公司合同
</t>
    </r>
    <r>
      <rPr>
        <b/>
        <sz val="10"/>
        <rFont val="宋体"/>
        <family val="0"/>
      </rPr>
      <t>经费安排及支出内容：</t>
    </r>
    <r>
      <rPr>
        <sz val="10"/>
        <rFont val="宋体"/>
        <family val="0"/>
      </rPr>
      <t>安排环卫费用411.5万元</t>
    </r>
  </si>
  <si>
    <t>保证生活垃圾处理场的正常运行。</t>
  </si>
  <si>
    <t>城乡社区环境卫生</t>
  </si>
  <si>
    <t>2120501</t>
  </si>
  <si>
    <t>污水处理厂运行经费</t>
  </si>
  <si>
    <t>污水处理厂</t>
  </si>
  <si>
    <r>
      <t>政策依据：</t>
    </r>
    <r>
      <rPr>
        <sz val="10"/>
        <rFont val="宋体"/>
        <family val="0"/>
      </rPr>
      <t xml:space="preserve">城市运转项目
</t>
    </r>
    <r>
      <rPr>
        <b/>
        <sz val="10"/>
        <rFont val="宋体"/>
        <family val="0"/>
      </rPr>
      <t>经费安排及支出内容：</t>
    </r>
    <r>
      <rPr>
        <sz val="10"/>
        <rFont val="宋体"/>
        <family val="0"/>
      </rPr>
      <t>安排117万元</t>
    </r>
  </si>
  <si>
    <t>力争以最低成本，完成我市节能减排任务。</t>
  </si>
  <si>
    <t>集中供热项目特许经营权合同贴</t>
  </si>
  <si>
    <t>公共事业管理局</t>
  </si>
  <si>
    <r>
      <t>政策依据：</t>
    </r>
    <r>
      <rPr>
        <sz val="10"/>
        <rFont val="宋体"/>
        <family val="0"/>
      </rPr>
      <t xml:space="preserve">城市运转项目
</t>
    </r>
    <r>
      <rPr>
        <b/>
        <sz val="10"/>
        <rFont val="宋体"/>
        <family val="0"/>
      </rPr>
      <t>经费安排及支出内容：</t>
    </r>
    <r>
      <rPr>
        <sz val="10"/>
        <rFont val="宋体"/>
        <family val="0"/>
      </rPr>
      <t>按合同安排260万元</t>
    </r>
  </si>
  <si>
    <t>保证城区居民冬季供热正常运行。</t>
  </si>
  <si>
    <t>其他城乡社区管理事务支出</t>
  </si>
  <si>
    <t>2120199</t>
  </si>
  <si>
    <t>2018年度城市公共交通财政补贴项目</t>
  </si>
  <si>
    <t>交通局</t>
  </si>
  <si>
    <r>
      <t>政策依据：</t>
    </r>
    <r>
      <rPr>
        <sz val="10"/>
        <rFont val="宋体"/>
        <family val="0"/>
      </rPr>
      <t xml:space="preserve">交通运输部《关于贯彻落实，国研网关于城市优先发展公共交通的指导意见。的实施意见》，
</t>
    </r>
    <r>
      <rPr>
        <b/>
        <sz val="10"/>
        <rFont val="宋体"/>
        <family val="0"/>
      </rPr>
      <t>经费安排及支出内容：安排经常性补贴108万元，</t>
    </r>
  </si>
  <si>
    <t>充分体现城市公交的社会公益性,让更广大的老百姓享受方便、快捷、舒适的出行条件，得到更多的实惠；体现政府为民办实事取得的成效。</t>
  </si>
  <si>
    <t>公共交通运营补助</t>
  </si>
  <si>
    <t>2140901</t>
  </si>
  <si>
    <t>其他项目</t>
  </si>
  <si>
    <t>在线监督平台运行经费</t>
  </si>
  <si>
    <t>人大</t>
  </si>
  <si>
    <r>
      <t>政策依据：吕梁市人大常委会办公厅</t>
    </r>
    <r>
      <rPr>
        <sz val="10"/>
        <rFont val="宋体"/>
        <family val="0"/>
      </rPr>
      <t xml:space="preserve">关于印发《进一步推进全市人大预算联网监管工作的通知》（吕人办发【2018】7号），对预算联网监管工作做出了总体规划，要求用三年时间，逐步形成横向联通、纵向贯通的预算联网监管网络。
</t>
    </r>
    <r>
      <rPr>
        <b/>
        <sz val="10"/>
        <rFont val="宋体"/>
        <family val="0"/>
      </rPr>
      <t>经费安排及支出内容：</t>
    </r>
    <r>
      <rPr>
        <sz val="10"/>
        <rFont val="宋体"/>
        <family val="0"/>
      </rPr>
      <t>本年安排30万元，用于预算联网信息软件在线监督平台运行费用。</t>
    </r>
  </si>
  <si>
    <t>依托电子政务外网，以南通市财政预算管理一体化平台为基础开发，整合有关数据资源，实现全口径全过程全方位联网查询市本级预算编制、预算指标、预算执行的明细数据，为市人大及其常委会有效行使人大预算审查监督权提供有力的技术手段。</t>
  </si>
  <si>
    <t>行政运行（人大事务）</t>
  </si>
  <si>
    <t>人大代表活动经费</t>
  </si>
  <si>
    <r>
      <t>政策依据：《中华人民共和国代表法》第三十五条：代表的活动经费，应当列入本级财政预算予以保障，专款专用。</t>
    </r>
    <r>
      <rPr>
        <sz val="10"/>
        <rFont val="宋体"/>
        <family val="0"/>
      </rPr>
      <t xml:space="preserve">
</t>
    </r>
    <r>
      <rPr>
        <b/>
        <sz val="10"/>
        <rFont val="宋体"/>
        <family val="0"/>
      </rPr>
      <t>经费安排及支出内容：</t>
    </r>
    <r>
      <rPr>
        <sz val="10"/>
        <rFont val="宋体"/>
        <family val="0"/>
      </rPr>
      <t>按代表人数人均元，用于人大代表开展调研等活动支出。</t>
    </r>
  </si>
  <si>
    <t>保证人大代表依法行使代表的职权，履行代表的义务，发挥代表作用。</t>
  </si>
  <si>
    <t>代表工作</t>
  </si>
  <si>
    <t>政协委员活动经费</t>
  </si>
  <si>
    <t>政协</t>
  </si>
  <si>
    <r>
      <t>政策依据：</t>
    </r>
    <r>
      <rPr>
        <sz val="10"/>
        <rFont val="宋体"/>
        <family val="0"/>
      </rPr>
      <t xml:space="preserve">《中共中央关于加强人民政府政协工作的意见》要求：各级党委和政府对政协干部交流、活动经费等方面存在的问题，要切实帮助解决。
</t>
    </r>
    <r>
      <rPr>
        <b/>
        <sz val="10"/>
        <rFont val="宋体"/>
        <family val="0"/>
      </rPr>
      <t>经费安排及支出内容：</t>
    </r>
    <r>
      <rPr>
        <sz val="10"/>
        <rFont val="宋体"/>
        <family val="0"/>
      </rPr>
      <t>按代表人数人均1200元，用于委员视察工作经费。</t>
    </r>
  </si>
  <si>
    <t>进一步加强和改善党对人民政协的领导，支持人民政协依照章程独立负责、协调一致地开展工作。</t>
  </si>
  <si>
    <t>委员视察</t>
  </si>
  <si>
    <t>“三基”建设经费：村级组织运转经费</t>
  </si>
  <si>
    <t>县委组织部</t>
  </si>
  <si>
    <r>
      <t>政策依据：</t>
    </r>
    <r>
      <rPr>
        <sz val="10"/>
        <rFont val="宋体"/>
        <family val="0"/>
      </rPr>
      <t xml:space="preserve">根据山西省财政厅《关于加强”三基建设“财政投入保障的实施意见》（晋财预【2017】25号）精神。
</t>
    </r>
    <r>
      <rPr>
        <b/>
        <sz val="10"/>
        <rFont val="宋体"/>
        <family val="0"/>
      </rPr>
      <t>经费安排及支出内容：拟安排村级组织运转经费9.5万元/村。</t>
    </r>
  </si>
  <si>
    <t>为全县169个行政村配套，为我县农村的“三基建设”提供经济保障。</t>
  </si>
  <si>
    <t>其他组织事务支出</t>
  </si>
  <si>
    <t>2013299</t>
  </si>
  <si>
    <t>“三基”建设经费：党员教育培训资金</t>
  </si>
  <si>
    <r>
      <t>政策依据：</t>
    </r>
    <r>
      <rPr>
        <sz val="10"/>
        <rFont val="宋体"/>
        <family val="0"/>
      </rPr>
      <t xml:space="preserve">提前下达2019年度农村（社区）党员教育培训经费
</t>
    </r>
    <r>
      <rPr>
        <b/>
        <sz val="10"/>
        <rFont val="宋体"/>
        <family val="0"/>
      </rPr>
      <t>经费安排及支出内容：</t>
    </r>
    <r>
      <rPr>
        <sz val="10"/>
        <rFont val="宋体"/>
        <family val="0"/>
      </rPr>
      <t>提前下达2019年度农村（社区）党员教育培训经费9.53万元</t>
    </r>
  </si>
  <si>
    <t>对全县党员进行教育培训，全面提高党员队伍素质能力。</t>
  </si>
  <si>
    <t>“三基”建设经费：联合党组织工作经费</t>
  </si>
  <si>
    <r>
      <t>政策依据：</t>
    </r>
    <r>
      <rPr>
        <sz val="10"/>
        <rFont val="宋体"/>
        <family val="0"/>
      </rPr>
      <t xml:space="preserve"> 提前下达2019年度全省非公经济组织和社会组织党
</t>
    </r>
    <r>
      <rPr>
        <b/>
        <sz val="10"/>
        <rFont val="宋体"/>
        <family val="0"/>
      </rPr>
      <t>经费安排及支出内容：</t>
    </r>
    <r>
      <rPr>
        <sz val="10"/>
        <rFont val="宋体"/>
        <family val="0"/>
      </rPr>
      <t xml:space="preserve"> 提前下达2019年度全省非公经济组织和社会组织党1.06万元，县级配套1万元。</t>
    </r>
  </si>
  <si>
    <t>保障非公经济组织和社会党组织工作经费。</t>
  </si>
  <si>
    <t>“三基”建设经费：社区服务群众专项经费</t>
  </si>
  <si>
    <t>政策依据：根据山西省财政厅《关于加强”三基建设“财政投入保障的实施意见》（晋财预【2017】25号）精神。
经费安排及支出内容：拟安排每个社区2万元，用于社区群众专项经费。</t>
  </si>
  <si>
    <t>解决好社区群众最关心、最直接、最现实的各类实事好事，提高社区服务群众的能力和水平。</t>
  </si>
  <si>
    <t>第四次全国经济普查</t>
  </si>
  <si>
    <t>统计局</t>
  </si>
  <si>
    <r>
      <t>政策依据：</t>
    </r>
    <r>
      <rPr>
        <sz val="10"/>
        <rFont val="宋体"/>
        <family val="0"/>
      </rPr>
      <t xml:space="preserve">国务院&lt;关于开展第四次全国经济普查额通知&gt;(国发【2017】53号）
</t>
    </r>
    <r>
      <rPr>
        <b/>
        <sz val="10"/>
        <rFont val="宋体"/>
        <family val="0"/>
      </rPr>
      <t>经费安排及支出内容：</t>
    </r>
    <r>
      <rPr>
        <sz val="10"/>
        <rFont val="宋体"/>
        <family val="0"/>
      </rPr>
      <t>需安排普查资料、培训资料、下乡补助及差旅费鞥20万元</t>
    </r>
  </si>
  <si>
    <t>提高普查工作水平，确保调查数据质量，更客观地反映经济社会发展成果，更有效地服务民生改善。</t>
  </si>
  <si>
    <t>统计抽样调查</t>
  </si>
  <si>
    <t>2010508</t>
  </si>
  <si>
    <t>政府债务到期本金利息</t>
  </si>
  <si>
    <t>财政局</t>
  </si>
  <si>
    <r>
      <t>政策依据：</t>
    </r>
    <r>
      <rPr>
        <sz val="10"/>
        <rFont val="宋体"/>
        <family val="0"/>
      </rPr>
      <t xml:space="preserve">吕财库（2018）7号关于偿还2018年国债转贷本金利息和地方政府债券利息的通知、吕财函（2018）23号 关于落实棚户区改造项目资金的通知等
</t>
    </r>
    <r>
      <rPr>
        <b/>
        <sz val="10"/>
        <rFont val="宋体"/>
        <family val="0"/>
      </rPr>
      <t>经费安排及支出内容：</t>
    </r>
    <r>
      <rPr>
        <sz val="10"/>
        <rFont val="宋体"/>
        <family val="0"/>
      </rPr>
      <t xml:space="preserve">2019年政府债券还本付息支出2480万元；2016年商贸区道路改造项目需还本付息770万元；2017年我县异地扶贫搬迁项目拆除复垦建房奖补项目需利息11.13万元；2015年大武新城第一批棚户区改造项目需还本付息11177.14万元（本金5060万元、利息6117.14万元）；
</t>
    </r>
  </si>
  <si>
    <t xml:space="preserve">加强政府债务管理，确保偿还到期债务本息，维护政府信誉
</t>
  </si>
  <si>
    <t>地方政府一般债券付息支出</t>
  </si>
  <si>
    <t>2320301</t>
  </si>
  <si>
    <t>上解支出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</si>
</sst>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00000_ "/>
    <numFmt numFmtId="180" formatCode="0.0000_ "/>
    <numFmt numFmtId="181" formatCode="#,##0.00_ "/>
    <numFmt numFmtId="182" formatCode="#,##0_);[Red]\(#,##0\)"/>
    <numFmt numFmtId="183" formatCode="#,##0.00_ ;\-#,##0.00;;"/>
    <numFmt numFmtId="184" formatCode="0.00_);[Red]\(0.00\)"/>
  </numFmts>
  <fonts count="52">
    <font>
      <sz val="12"/>
      <name val="宋体"/>
      <family val="0"/>
    </font>
    <font>
      <sz val="26"/>
      <name val="方正小标宋简体"/>
      <family val="0"/>
    </font>
    <font>
      <sz val="12"/>
      <name val="仿宋_GB2312"/>
      <family val="3"/>
    </font>
    <font>
      <sz val="11"/>
      <name val="黑体"/>
      <family val="0"/>
    </font>
    <font>
      <b/>
      <sz val="11"/>
      <name val="宋体"/>
      <family val="0"/>
    </font>
    <font>
      <sz val="11"/>
      <name val="宋体"/>
      <family val="0"/>
    </font>
    <font>
      <sz val="9"/>
      <name val="宋体"/>
      <family val="0"/>
    </font>
    <font>
      <b/>
      <sz val="24"/>
      <name val="方正小标宋简体"/>
      <family val="0"/>
    </font>
    <font>
      <sz val="10"/>
      <name val="黑体"/>
      <family val="0"/>
    </font>
    <font>
      <b/>
      <sz val="10"/>
      <name val="宋体"/>
      <family val="0"/>
    </font>
    <font>
      <b/>
      <sz val="9"/>
      <name val="宋体"/>
      <family val="0"/>
    </font>
    <font>
      <sz val="10"/>
      <name val="宋体"/>
      <family val="0"/>
    </font>
    <font>
      <sz val="9"/>
      <color indexed="8"/>
      <name val="宋体"/>
      <family val="0"/>
    </font>
    <font>
      <sz val="9"/>
      <name val="仿宋_GB2312"/>
      <family val="3"/>
    </font>
    <font>
      <sz val="12"/>
      <name val="黑体"/>
      <family val="0"/>
    </font>
    <font>
      <sz val="24"/>
      <name val="方正小标宋简体"/>
      <family val="0"/>
    </font>
    <font>
      <sz val="10"/>
      <name val="仿宋_GB2312"/>
      <family val="3"/>
    </font>
    <font>
      <b/>
      <sz val="18"/>
      <name val="方正小标宋简体"/>
      <family val="0"/>
    </font>
    <font>
      <b/>
      <sz val="12"/>
      <name val="宋体"/>
      <family val="0"/>
    </font>
    <font>
      <b/>
      <sz val="16"/>
      <color indexed="8"/>
      <name val="宋体"/>
      <family val="0"/>
    </font>
    <font>
      <b/>
      <sz val="12"/>
      <name val="楷体_GB2312"/>
      <family val="3"/>
    </font>
    <font>
      <b/>
      <sz val="12"/>
      <name val="仿宋_GB2312"/>
      <family val="3"/>
    </font>
    <font>
      <b/>
      <sz val="14"/>
      <name val="宋体"/>
      <family val="0"/>
    </font>
    <font>
      <b/>
      <sz val="22"/>
      <name val="宋体"/>
      <family val="0"/>
    </font>
    <font>
      <b/>
      <sz val="16"/>
      <name val="方正小标宋简体"/>
      <family val="0"/>
    </font>
    <font>
      <sz val="22"/>
      <name val="方正小标宋简体"/>
      <family val="0"/>
    </font>
    <font>
      <b/>
      <sz val="11"/>
      <name val="仿宋_GB2312"/>
      <family val="3"/>
    </font>
    <font>
      <sz val="11"/>
      <name val="仿宋_GB2312"/>
      <family val="3"/>
    </font>
    <font>
      <sz val="12"/>
      <name val="方正小标宋简体"/>
      <family val="0"/>
    </font>
    <font>
      <sz val="11"/>
      <name val="仿宋"/>
      <family val="3"/>
    </font>
    <font>
      <sz val="12"/>
      <name val="楷体_GB2312"/>
      <family val="3"/>
    </font>
    <font>
      <sz val="16"/>
      <name val="宋体"/>
      <family val="0"/>
    </font>
    <font>
      <b/>
      <sz val="16"/>
      <name val="宋体"/>
      <family val="0"/>
    </font>
    <font>
      <sz val="11"/>
      <color indexed="8"/>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sz val="11"/>
      <color indexed="9"/>
      <name val="宋体"/>
      <family val="0"/>
    </font>
    <font>
      <b/>
      <sz val="13"/>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6"/>
      <name val="宋体"/>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7" tint="0.7999799847602844"/>
        <bgColor indexed="64"/>
      </patternFill>
    </fill>
    <fill>
      <patternFill patternType="solid">
        <fgColor indexed="9"/>
        <bgColor indexed="64"/>
      </patternFill>
    </fill>
    <fill>
      <patternFill patternType="mediumGray">
        <fgColor indexed="9"/>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right>
        <color indexed="63"/>
      </right>
      <top/>
      <bottom style="thin"/>
    </border>
    <border>
      <left>
        <color indexed="63"/>
      </left>
      <right/>
      <top/>
      <bottom style="thin"/>
    </border>
    <border>
      <left/>
      <right/>
      <top/>
      <bottom style="thin"/>
    </border>
    <border>
      <left>
        <color indexed="63"/>
      </left>
      <right>
        <color indexed="63"/>
      </right>
      <top/>
      <bottom style="thin"/>
    </border>
    <border>
      <left/>
      <right>
        <color indexed="63"/>
      </right>
      <top>
        <color indexed="63"/>
      </top>
      <bottom style="thin"/>
    </border>
    <border>
      <left>
        <color indexed="63"/>
      </left>
      <right/>
      <top>
        <color indexed="63"/>
      </top>
      <bottom style="thin"/>
    </border>
    <border>
      <left/>
      <right/>
      <top>
        <color indexed="63"/>
      </top>
      <bottom style="thin"/>
    </border>
    <border>
      <left>
        <color indexed="63"/>
      </left>
      <right>
        <color indexed="63"/>
      </right>
      <top style="thin"/>
      <bottom style="thin"/>
    </border>
    <border>
      <left/>
      <right>
        <color indexed="63"/>
      </right>
      <top style="thin"/>
      <bottom>
        <color indexed="63"/>
      </bottom>
    </border>
    <border>
      <left>
        <color indexed="63"/>
      </left>
      <right>
        <color indexed="63"/>
      </right>
      <top style="thin"/>
      <bottom>
        <color indexed="63"/>
      </bottom>
    </border>
    <border>
      <left/>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bottom style="thin"/>
    </border>
    <border>
      <left style="thin">
        <color indexed="8"/>
      </left>
      <right style="thin">
        <color indexed="8"/>
      </right>
      <top/>
      <bottom style="thin">
        <color indexed="8"/>
      </bottom>
    </border>
    <border>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33"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38" fillId="7" borderId="0" applyNumberFormat="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51" fillId="0" borderId="0" applyNumberFormat="0" applyFill="0" applyBorder="0" applyAlignment="0" applyProtection="0"/>
    <xf numFmtId="0" fontId="47" fillId="0" borderId="0" applyNumberFormat="0" applyFill="0" applyBorder="0" applyAlignment="0" applyProtection="0"/>
    <xf numFmtId="0" fontId="35" fillId="0" borderId="3" applyNumberFormat="0" applyFill="0" applyAlignment="0" applyProtection="0"/>
    <xf numFmtId="0" fontId="39" fillId="0" borderId="4" applyNumberFormat="0" applyFill="0" applyAlignment="0" applyProtection="0"/>
    <xf numFmtId="0" fontId="38" fillId="8" borderId="0" applyNumberFormat="0" applyBorder="0" applyAlignment="0" applyProtection="0"/>
    <xf numFmtId="0" fontId="40" fillId="0" borderId="5" applyNumberFormat="0" applyFill="0" applyAlignment="0" applyProtection="0"/>
    <xf numFmtId="0" fontId="38" fillId="9" borderId="0" applyNumberFormat="0" applyBorder="0" applyAlignment="0" applyProtection="0"/>
    <xf numFmtId="0" fontId="43" fillId="10" borderId="6" applyNumberFormat="0" applyAlignment="0" applyProtection="0"/>
    <xf numFmtId="0" fontId="46" fillId="10" borderId="1" applyNumberFormat="0" applyAlignment="0" applyProtection="0"/>
    <xf numFmtId="0" fontId="6" fillId="0" borderId="0">
      <alignment/>
      <protection/>
    </xf>
    <xf numFmtId="0" fontId="50" fillId="11" borderId="7" applyNumberFormat="0" applyAlignment="0" applyProtection="0"/>
    <xf numFmtId="0" fontId="33" fillId="3" borderId="0" applyNumberFormat="0" applyBorder="0" applyAlignment="0" applyProtection="0"/>
    <xf numFmtId="0" fontId="38" fillId="12" borderId="0" applyNumberFormat="0" applyBorder="0" applyAlignment="0" applyProtection="0"/>
    <xf numFmtId="0" fontId="34" fillId="0" borderId="8" applyNumberFormat="0" applyFill="0" applyAlignment="0" applyProtection="0"/>
    <xf numFmtId="0" fontId="45" fillId="0" borderId="9" applyNumberFormat="0" applyFill="0" applyAlignment="0" applyProtection="0"/>
    <xf numFmtId="0" fontId="49" fillId="2" borderId="0" applyNumberFormat="0" applyBorder="0" applyAlignment="0" applyProtection="0"/>
    <xf numFmtId="0" fontId="42" fillId="13" borderId="0" applyNumberFormat="0" applyBorder="0" applyAlignment="0" applyProtection="0"/>
    <xf numFmtId="0" fontId="33" fillId="14" borderId="0" applyNumberFormat="0" applyBorder="0" applyAlignment="0" applyProtection="0"/>
    <xf numFmtId="0" fontId="3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8" fillId="20" borderId="0" applyNumberFormat="0" applyBorder="0" applyAlignment="0" applyProtection="0"/>
    <xf numFmtId="0" fontId="0" fillId="0" borderId="0">
      <alignment/>
      <protection/>
    </xf>
    <xf numFmtId="0" fontId="33"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3" fillId="22" borderId="0" applyNumberFormat="0" applyBorder="0" applyAlignment="0" applyProtection="0"/>
    <xf numFmtId="0" fontId="38" fillId="23" borderId="0" applyNumberFormat="0" applyBorder="0" applyAlignment="0" applyProtection="0"/>
    <xf numFmtId="0" fontId="0" fillId="0" borderId="0" applyProtection="0">
      <alignment/>
    </xf>
  </cellStyleXfs>
  <cellXfs count="425">
    <xf numFmtId="0" fontId="0" fillId="0" borderId="0" xfId="0" applyAlignment="1">
      <alignment vertical="center"/>
    </xf>
    <xf numFmtId="0" fontId="1" fillId="0" borderId="0" xfId="0" applyFont="1" applyFill="1" applyAlignment="1" applyProtection="1">
      <alignment vertical="center"/>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vertical="center" wrapText="1"/>
      <protection/>
    </xf>
    <xf numFmtId="0" fontId="4" fillId="24"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wrapText="1"/>
      <protection/>
    </xf>
    <xf numFmtId="0" fontId="5" fillId="24"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protection/>
    </xf>
    <xf numFmtId="0" fontId="5" fillId="24" borderId="0" xfId="0" applyNumberFormat="1" applyFont="1" applyFill="1" applyBorder="1" applyAlignment="1" applyProtection="1">
      <alignment vertical="center"/>
      <protection/>
    </xf>
    <xf numFmtId="0" fontId="5" fillId="0" borderId="0" xfId="41" applyNumberFormat="1" applyFont="1" applyFill="1" applyBorder="1" applyAlignment="1" applyProtection="1">
      <alignment wrapText="1"/>
      <protection/>
    </xf>
    <xf numFmtId="0" fontId="4" fillId="0" borderId="0" xfId="41" applyNumberFormat="1" applyFont="1" applyFill="1" applyBorder="1" applyAlignment="1" applyProtection="1">
      <alignment vertical="center" wrapText="1"/>
      <protection/>
    </xf>
    <xf numFmtId="0" fontId="5" fillId="24" borderId="0" xfId="41" applyNumberFormat="1" applyFont="1" applyFill="1" applyBorder="1" applyAlignment="1" applyProtection="1">
      <alignment wrapText="1"/>
      <protection/>
    </xf>
    <xf numFmtId="0" fontId="5" fillId="24" borderId="0" xfId="0" applyNumberFormat="1" applyFont="1" applyFill="1" applyBorder="1" applyAlignment="1" applyProtection="1">
      <alignment wrapText="1"/>
      <protection/>
    </xf>
    <xf numFmtId="0" fontId="5" fillId="0" borderId="0" xfId="41" applyNumberFormat="1" applyFont="1" applyFill="1" applyBorder="1" applyAlignment="1" applyProtection="1">
      <alignment vertical="center" wrapText="1"/>
      <protection/>
    </xf>
    <xf numFmtId="0" fontId="0" fillId="24" borderId="0" xfId="0" applyFill="1" applyAlignment="1" applyProtection="1">
      <alignment/>
      <protection/>
    </xf>
    <xf numFmtId="0" fontId="0" fillId="25" borderId="0" xfId="0" applyFill="1" applyAlignment="1" applyProtection="1">
      <alignment/>
      <protection/>
    </xf>
    <xf numFmtId="0" fontId="0" fillId="0" borderId="0" xfId="0" applyFill="1" applyAlignment="1">
      <alignment vertical="center"/>
    </xf>
    <xf numFmtId="0" fontId="6" fillId="0" borderId="0" xfId="0" applyNumberFormat="1" applyFont="1" applyFill="1" applyBorder="1" applyAlignment="1" applyProtection="1">
      <alignment horizontal="center" wrapText="1"/>
      <protection/>
    </xf>
    <xf numFmtId="176"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Fill="1" applyAlignment="1" applyProtection="1">
      <alignment vertical="center"/>
      <protection/>
    </xf>
    <xf numFmtId="0" fontId="0" fillId="0" borderId="0" xfId="0" applyFill="1" applyAlignment="1" applyProtection="1">
      <alignment/>
      <protection/>
    </xf>
    <xf numFmtId="177" fontId="7" fillId="0" borderId="0" xfId="0" applyNumberFormat="1" applyFont="1" applyFill="1" applyAlignment="1" applyProtection="1">
      <alignment horizontal="center" vertical="center" wrapText="1"/>
      <protection/>
    </xf>
    <xf numFmtId="177" fontId="7" fillId="0" borderId="0" xfId="0" applyNumberFormat="1" applyFont="1" applyFill="1" applyAlignment="1" applyProtection="1">
      <alignment vertical="center" wrapText="1"/>
      <protection/>
    </xf>
    <xf numFmtId="177" fontId="2" fillId="0" borderId="0" xfId="0" applyNumberFormat="1" applyFont="1" applyFill="1" applyAlignment="1" applyProtection="1">
      <alignment vertical="center" wrapText="1"/>
      <protection/>
    </xf>
    <xf numFmtId="177" fontId="2" fillId="0" borderId="0" xfId="0" applyNumberFormat="1" applyFont="1" applyFill="1" applyBorder="1" applyAlignment="1" applyProtection="1">
      <alignment horizontal="center" vertical="center" wrapText="1"/>
      <protection/>
    </xf>
    <xf numFmtId="176" fontId="2" fillId="0" borderId="0" xfId="0" applyNumberFormat="1" applyFont="1" applyFill="1" applyBorder="1" applyAlignment="1" applyProtection="1">
      <alignment horizontal="center" vertical="center" wrapText="1"/>
      <protection/>
    </xf>
    <xf numFmtId="176" fontId="2" fillId="0" borderId="0" xfId="0" applyNumberFormat="1" applyFont="1" applyFill="1" applyBorder="1" applyAlignment="1" applyProtection="1">
      <alignment horizontal="center" wrapText="1"/>
      <protection/>
    </xf>
    <xf numFmtId="178" fontId="2" fillId="0" borderId="0" xfId="0" applyNumberFormat="1" applyFont="1" applyFill="1" applyBorder="1" applyAlignment="1" applyProtection="1">
      <alignment vertical="center" wrapText="1"/>
      <protection/>
    </xf>
    <xf numFmtId="178" fontId="2" fillId="0" borderId="10" xfId="0" applyNumberFormat="1" applyFont="1" applyFill="1" applyBorder="1" applyAlignment="1" applyProtection="1">
      <alignment horizontal="center" vertical="center" wrapText="1"/>
      <protection/>
    </xf>
    <xf numFmtId="177" fontId="3" fillId="0" borderId="11" xfId="0" applyNumberFormat="1" applyFont="1" applyFill="1" applyBorder="1" applyAlignment="1" applyProtection="1">
      <alignment horizontal="center" vertical="center" wrapText="1"/>
      <protection/>
    </xf>
    <xf numFmtId="176" fontId="3" fillId="0" borderId="11" xfId="0" applyNumberFormat="1" applyFont="1" applyFill="1" applyBorder="1" applyAlignment="1" applyProtection="1">
      <alignment horizontal="center" vertical="center" wrapText="1"/>
      <protection/>
    </xf>
    <xf numFmtId="178" fontId="3"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177" fontId="9" fillId="0" borderId="11" xfId="0" applyNumberFormat="1" applyFont="1" applyFill="1" applyBorder="1" applyAlignment="1" applyProtection="1">
      <alignment horizontal="center" vertical="center" wrapText="1"/>
      <protection/>
    </xf>
    <xf numFmtId="177" fontId="9" fillId="0" borderId="11" xfId="0" applyNumberFormat="1" applyFont="1" applyFill="1" applyBorder="1" applyAlignment="1" applyProtection="1">
      <alignment vertical="center" wrapText="1"/>
      <protection/>
    </xf>
    <xf numFmtId="179" fontId="9" fillId="0" borderId="11" xfId="0" applyNumberFormat="1" applyFont="1" applyFill="1" applyBorder="1" applyAlignment="1" applyProtection="1">
      <alignment vertical="center" wrapText="1"/>
      <protection/>
    </xf>
    <xf numFmtId="177" fontId="10" fillId="0" borderId="11" xfId="0" applyNumberFormat="1" applyFont="1" applyFill="1" applyBorder="1" applyAlignment="1" applyProtection="1">
      <alignment vertical="center" wrapText="1"/>
      <protection/>
    </xf>
    <xf numFmtId="0" fontId="9" fillId="24" borderId="11" xfId="0" applyFont="1" applyFill="1" applyBorder="1" applyAlignment="1" applyProtection="1">
      <alignment horizontal="center" vertical="center" wrapText="1"/>
      <protection/>
    </xf>
    <xf numFmtId="49" fontId="9" fillId="24" borderId="11" xfId="0" applyNumberFormat="1" applyFont="1" applyFill="1" applyBorder="1" applyAlignment="1" applyProtection="1">
      <alignment vertical="center" wrapText="1"/>
      <protection/>
    </xf>
    <xf numFmtId="177" fontId="9" fillId="24" borderId="11" xfId="0" applyNumberFormat="1" applyFont="1" applyFill="1" applyBorder="1" applyAlignment="1" applyProtection="1">
      <alignment horizontal="center" vertical="center" wrapText="1"/>
      <protection/>
    </xf>
    <xf numFmtId="180" fontId="9" fillId="24" borderId="11" xfId="0" applyNumberFormat="1" applyFont="1" applyFill="1" applyBorder="1" applyAlignment="1" applyProtection="1">
      <alignment vertical="center" wrapText="1"/>
      <protection/>
    </xf>
    <xf numFmtId="0" fontId="10" fillId="24" borderId="11" xfId="0" applyFont="1" applyFill="1" applyBorder="1" applyAlignment="1" applyProtection="1">
      <alignment vertical="center" wrapText="1"/>
      <protection/>
    </xf>
    <xf numFmtId="0" fontId="11" fillId="0" borderId="11" xfId="0" applyNumberFormat="1" applyFont="1" applyFill="1" applyBorder="1" applyAlignment="1" applyProtection="1">
      <alignment vertical="center" wrapText="1"/>
      <protection/>
    </xf>
    <xf numFmtId="49" fontId="11" fillId="0" borderId="11"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9" fillId="24" borderId="11" xfId="0" applyNumberFormat="1" applyFont="1" applyFill="1" applyBorder="1" applyAlignment="1" applyProtection="1">
      <alignment horizontal="center" vertical="center" wrapText="1"/>
      <protection/>
    </xf>
    <xf numFmtId="0" fontId="11" fillId="24" borderId="11" xfId="0" applyNumberFormat="1" applyFont="1" applyFill="1" applyBorder="1" applyAlignment="1" applyProtection="1">
      <alignment horizontal="center" vertical="center" wrapText="1"/>
      <protection/>
    </xf>
    <xf numFmtId="0" fontId="9" fillId="24" borderId="11" xfId="0" applyNumberFormat="1" applyFont="1" applyFill="1" applyBorder="1" applyAlignment="1" applyProtection="1">
      <alignment vertical="center" wrapText="1"/>
      <protection/>
    </xf>
    <xf numFmtId="178" fontId="9" fillId="24" borderId="11" xfId="0" applyNumberFormat="1" applyFont="1" applyFill="1" applyBorder="1" applyAlignment="1" applyProtection="1">
      <alignment vertical="center" wrapText="1"/>
      <protection/>
    </xf>
    <xf numFmtId="177" fontId="11" fillId="0" borderId="11" xfId="0" applyNumberFormat="1" applyFont="1" applyFill="1" applyBorder="1" applyAlignment="1" applyProtection="1">
      <alignment vertical="center" wrapText="1"/>
      <protection/>
    </xf>
    <xf numFmtId="0" fontId="11" fillId="24" borderId="11" xfId="0" applyNumberFormat="1" applyFont="1" applyFill="1" applyBorder="1" applyAlignment="1" applyProtection="1">
      <alignment vertical="center" wrapText="1"/>
      <protection/>
    </xf>
    <xf numFmtId="49" fontId="11" fillId="24" borderId="11"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vertical="center" wrapText="1"/>
      <protection/>
    </xf>
    <xf numFmtId="49" fontId="11" fillId="0" borderId="12" xfId="0" applyNumberFormat="1" applyFont="1" applyFill="1" applyBorder="1" applyAlignment="1" applyProtection="1">
      <alignment vertical="center" wrapText="1"/>
      <protection/>
    </xf>
    <xf numFmtId="49" fontId="11" fillId="0" borderId="13" xfId="0" applyNumberFormat="1" applyFont="1" applyFill="1" applyBorder="1" applyAlignment="1" applyProtection="1">
      <alignment vertical="center" wrapText="1"/>
      <protection/>
    </xf>
    <xf numFmtId="0" fontId="11" fillId="0" borderId="11" xfId="0" applyFont="1" applyFill="1" applyBorder="1" applyAlignment="1">
      <alignment horizontal="justify" vertical="center"/>
    </xf>
    <xf numFmtId="0" fontId="12" fillId="0" borderId="11" xfId="0" applyFont="1" applyFill="1" applyBorder="1" applyAlignment="1">
      <alignment horizontal="left" vertical="center"/>
    </xf>
    <xf numFmtId="0" fontId="11" fillId="0" borderId="14" xfId="0" applyNumberFormat="1" applyFont="1" applyFill="1" applyBorder="1" applyAlignment="1" applyProtection="1">
      <alignment horizontal="center" vertical="center" wrapText="1"/>
      <protection/>
    </xf>
    <xf numFmtId="49" fontId="11" fillId="0" borderId="14"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vertical="center" wrapText="1"/>
      <protection/>
    </xf>
    <xf numFmtId="0" fontId="9" fillId="24" borderId="11" xfId="0" applyFont="1" applyFill="1" applyBorder="1" applyAlignment="1" applyProtection="1">
      <alignment vertical="center" wrapText="1"/>
      <protection/>
    </xf>
    <xf numFmtId="177" fontId="11" fillId="0" borderId="11" xfId="0" applyNumberFormat="1" applyFont="1" applyFill="1" applyBorder="1" applyAlignment="1" applyProtection="1">
      <alignment horizontal="center" vertical="center" wrapText="1"/>
      <protection/>
    </xf>
    <xf numFmtId="0" fontId="11" fillId="0" borderId="11" xfId="0" applyFont="1" applyFill="1" applyBorder="1" applyAlignment="1" applyProtection="1">
      <alignment vertical="center" wrapText="1"/>
      <protection/>
    </xf>
    <xf numFmtId="0" fontId="0" fillId="0" borderId="11" xfId="0" applyFill="1" applyBorder="1" applyAlignment="1">
      <alignment horizontal="center" vertical="center"/>
    </xf>
    <xf numFmtId="0" fontId="0" fillId="0" borderId="11" xfId="0" applyFill="1" applyBorder="1" applyAlignment="1">
      <alignment vertical="center"/>
    </xf>
    <xf numFmtId="0" fontId="11" fillId="0" borderId="11" xfId="0" applyFont="1" applyFill="1" applyBorder="1" applyAlignment="1">
      <alignment vertical="center"/>
    </xf>
    <xf numFmtId="0" fontId="0" fillId="0" borderId="0" xfId="0" applyFill="1" applyAlignment="1">
      <alignment horizontal="center" vertical="center"/>
    </xf>
    <xf numFmtId="0" fontId="0" fillId="0" borderId="0" xfId="0" applyNumberFormat="1" applyFill="1" applyAlignment="1">
      <alignment vertical="center"/>
    </xf>
    <xf numFmtId="177" fontId="7" fillId="0" borderId="0" xfId="0" applyNumberFormat="1" applyFont="1" applyFill="1" applyAlignment="1" applyProtection="1">
      <alignment horizontal="left" vertical="center" wrapText="1"/>
      <protection/>
    </xf>
    <xf numFmtId="0" fontId="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8" fillId="0" borderId="11" xfId="0"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177" fontId="10" fillId="0" borderId="11" xfId="0" applyNumberFormat="1" applyFont="1" applyFill="1" applyBorder="1" applyAlignment="1" applyProtection="1">
      <alignment horizontal="left" vertical="center" wrapText="1"/>
      <protection/>
    </xf>
    <xf numFmtId="0" fontId="10" fillId="24" borderId="11" xfId="0" applyFont="1" applyFill="1" applyBorder="1" applyAlignment="1" applyProtection="1">
      <alignment horizontal="left" vertical="center" wrapText="1"/>
      <protection/>
    </xf>
    <xf numFmtId="0" fontId="5" fillId="24" borderId="0" xfId="0" applyNumberFormat="1" applyFont="1" applyFill="1" applyBorder="1" applyAlignment="1" applyProtection="1">
      <alignment/>
      <protection/>
    </xf>
    <xf numFmtId="0" fontId="6" fillId="0" borderId="11" xfId="0" applyFont="1" applyFill="1" applyBorder="1" applyAlignment="1" applyProtection="1">
      <alignment horizontal="left" vertical="center" wrapText="1"/>
      <protection/>
    </xf>
    <xf numFmtId="49" fontId="11" fillId="0" borderId="11"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protection/>
    </xf>
    <xf numFmtId="49" fontId="9" fillId="24" borderId="11" xfId="0" applyNumberFormat="1" applyFont="1" applyFill="1" applyBorder="1" applyAlignment="1" applyProtection="1">
      <alignment horizontal="left" vertical="center" wrapText="1"/>
      <protection/>
    </xf>
    <xf numFmtId="49" fontId="11" fillId="24" borderId="11" xfId="0" applyNumberFormat="1" applyFont="1" applyFill="1" applyBorder="1" applyAlignment="1" applyProtection="1">
      <alignment horizontal="left" vertical="center" wrapText="1"/>
      <protection/>
    </xf>
    <xf numFmtId="49" fontId="6" fillId="0" borderId="11" xfId="0" applyNumberFormat="1" applyFont="1" applyFill="1" applyBorder="1" applyAlignment="1" applyProtection="1">
      <alignment horizontal="left" vertical="center" wrapText="1"/>
      <protection/>
    </xf>
    <xf numFmtId="0" fontId="6" fillId="24" borderId="0" xfId="0" applyNumberFormat="1" applyFont="1" applyFill="1" applyBorder="1" applyAlignment="1" applyProtection="1">
      <alignment/>
      <protection/>
    </xf>
    <xf numFmtId="0" fontId="10" fillId="0" borderId="11" xfId="0" applyFont="1" applyFill="1" applyBorder="1" applyAlignment="1" applyProtection="1">
      <alignment horizontal="left" vertical="center" wrapText="1"/>
      <protection/>
    </xf>
    <xf numFmtId="0" fontId="6" fillId="25" borderId="11" xfId="0" applyFont="1" applyFill="1" applyBorder="1" applyAlignment="1" applyProtection="1">
      <alignment horizontal="left" vertical="center" wrapText="1"/>
      <protection/>
    </xf>
    <xf numFmtId="0" fontId="6" fillId="25" borderId="0" xfId="0" applyNumberFormat="1" applyFont="1" applyFill="1" applyBorder="1" applyAlignment="1" applyProtection="1">
      <alignment/>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0" fillId="24" borderId="0" xfId="0" applyNumberFormat="1" applyFont="1" applyFill="1" applyBorder="1" applyAlignment="1" applyProtection="1">
      <alignment vertical="center"/>
      <protection/>
    </xf>
    <xf numFmtId="0" fontId="0" fillId="25"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5" borderId="0" xfId="0" applyNumberFormat="1" applyFont="1" applyFill="1" applyBorder="1" applyAlignment="1" applyProtection="1">
      <alignment/>
      <protection/>
    </xf>
    <xf numFmtId="0" fontId="2" fillId="0" borderId="0" xfId="0" applyFont="1" applyFill="1" applyAlignment="1" applyProtection="1">
      <alignment vertical="center"/>
      <protection/>
    </xf>
    <xf numFmtId="0" fontId="14" fillId="0" borderId="0" xfId="0" applyFont="1" applyFill="1" applyAlignment="1" applyProtection="1">
      <alignment vertical="center"/>
      <protection/>
    </xf>
    <xf numFmtId="0" fontId="0" fillId="24" borderId="0" xfId="0" applyFill="1" applyAlignment="1" applyProtection="1">
      <alignment vertical="center"/>
      <protection/>
    </xf>
    <xf numFmtId="0" fontId="0" fillId="25" borderId="0" xfId="0" applyFill="1" applyAlignment="1" applyProtection="1">
      <alignment vertical="center"/>
      <protection/>
    </xf>
    <xf numFmtId="0" fontId="2" fillId="0" borderId="0" xfId="0" applyFont="1" applyFill="1" applyAlignment="1" applyProtection="1">
      <alignment/>
      <protection/>
    </xf>
    <xf numFmtId="0" fontId="15" fillId="0" borderId="0" xfId="0" applyFont="1" applyFill="1" applyAlignment="1" applyProtection="1">
      <alignment horizontal="center"/>
      <protection/>
    </xf>
    <xf numFmtId="0" fontId="2" fillId="0" borderId="0" xfId="0" applyFont="1" applyFill="1" applyAlignment="1" applyProtection="1">
      <alignment horizontal="right"/>
      <protection/>
    </xf>
    <xf numFmtId="0" fontId="14" fillId="0" borderId="11"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vertical="center"/>
      <protection/>
    </xf>
    <xf numFmtId="0" fontId="15" fillId="0" borderId="0" xfId="0" applyNumberFormat="1" applyFont="1" applyFill="1" applyAlignment="1" applyProtection="1">
      <alignment horizontal="center" vertical="center"/>
      <protection/>
    </xf>
    <xf numFmtId="0" fontId="16" fillId="0" borderId="0" xfId="0" applyFont="1" applyFill="1" applyAlignment="1" applyProtection="1">
      <alignment/>
      <protection/>
    </xf>
    <xf numFmtId="0" fontId="17" fillId="0" borderId="0" xfId="0" applyNumberFormat="1" applyFont="1" applyFill="1" applyAlignment="1" applyProtection="1">
      <alignment horizontal="center" vertical="center"/>
      <protection/>
    </xf>
    <xf numFmtId="0" fontId="15" fillId="0" borderId="0" xfId="0" applyNumberFormat="1" applyFont="1" applyFill="1" applyAlignment="1" applyProtection="1">
      <alignment vertical="center"/>
      <protection/>
    </xf>
    <xf numFmtId="0" fontId="2" fillId="0" borderId="0" xfId="0" applyFont="1" applyFill="1" applyAlignment="1" applyProtection="1">
      <alignment horizontal="center" vertical="center"/>
      <protection/>
    </xf>
    <xf numFmtId="0" fontId="1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vertical="center"/>
      <protection/>
    </xf>
    <xf numFmtId="0" fontId="2" fillId="0" borderId="11"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13" fillId="0" borderId="0" xfId="0" applyFont="1" applyFill="1" applyAlignment="1" applyProtection="1">
      <alignment/>
      <protection/>
    </xf>
    <xf numFmtId="0" fontId="4" fillId="0" borderId="0" xfId="0" applyFont="1" applyAlignment="1">
      <alignment horizontal="center" vertical="center"/>
    </xf>
    <xf numFmtId="0" fontId="18" fillId="0" borderId="0" xfId="0" applyFont="1" applyAlignment="1">
      <alignment vertical="center"/>
    </xf>
    <xf numFmtId="0" fontId="0" fillId="0" borderId="0" xfId="0" applyAlignment="1">
      <alignment horizontal="center" vertical="center"/>
    </xf>
    <xf numFmtId="0" fontId="19" fillId="0" borderId="0"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 fillId="0" borderId="11" xfId="0" applyFont="1" applyBorder="1" applyAlignment="1">
      <alignment horizontal="center" vertical="center" wrapText="1"/>
    </xf>
    <xf numFmtId="0" fontId="18" fillId="0" borderId="11" xfId="0" applyFont="1" applyBorder="1" applyAlignment="1">
      <alignment horizontal="center" vertical="center" wrapText="1"/>
    </xf>
    <xf numFmtId="4" fontId="18" fillId="0" borderId="11" xfId="0" applyNumberFormat="1" applyFont="1" applyBorder="1" applyAlignment="1">
      <alignment horizontal="center" vertical="center" wrapText="1"/>
    </xf>
    <xf numFmtId="0" fontId="0" fillId="0" borderId="11" xfId="0" applyBorder="1" applyAlignment="1">
      <alignment vertical="center" wrapText="1"/>
    </xf>
    <xf numFmtId="4"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18" fillId="0" borderId="0" xfId="0" applyFont="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0" fillId="0" borderId="0" xfId="0" applyFont="1" applyFill="1" applyAlignment="1" applyProtection="1">
      <alignment horizontal="center" vertical="center" wrapText="1"/>
      <protection/>
    </xf>
    <xf numFmtId="176" fontId="0" fillId="0" borderId="0" xfId="0" applyNumberFormat="1" applyFont="1" applyFill="1" applyAlignment="1" applyProtection="1">
      <alignment/>
      <protection/>
    </xf>
    <xf numFmtId="0" fontId="0" fillId="0" borderId="0" xfId="0" applyFont="1" applyFill="1" applyAlignment="1" applyProtection="1">
      <alignment wrapText="1"/>
      <protection/>
    </xf>
    <xf numFmtId="0" fontId="17"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176" fontId="2" fillId="0" borderId="0" xfId="0" applyNumberFormat="1" applyFont="1" applyFill="1" applyAlignment="1" applyProtection="1">
      <alignment vertical="center"/>
      <protection/>
    </xf>
    <xf numFmtId="0" fontId="2" fillId="0" borderId="0" xfId="0" applyFont="1" applyFill="1" applyAlignment="1" applyProtection="1">
      <alignment horizontal="right" vertical="center" wrapText="1"/>
      <protection/>
    </xf>
    <xf numFmtId="0" fontId="14" fillId="0" borderId="11" xfId="0" applyFont="1" applyFill="1" applyBorder="1" applyAlignment="1" applyProtection="1">
      <alignment horizontal="center" vertical="center" wrapText="1"/>
      <protection locked="0"/>
    </xf>
    <xf numFmtId="176" fontId="14" fillId="0" borderId="11" xfId="0" applyNumberFormat="1" applyFont="1" applyFill="1" applyBorder="1" applyAlignment="1" applyProtection="1">
      <alignment horizontal="center" vertical="center" wrapText="1"/>
      <protection/>
    </xf>
    <xf numFmtId="176" fontId="8"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vertical="center"/>
      <protection locked="0"/>
    </xf>
    <xf numFmtId="176" fontId="0" fillId="0" borderId="11" xfId="0" applyNumberFormat="1" applyFont="1" applyFill="1" applyBorder="1" applyAlignment="1" applyProtection="1">
      <alignment vertical="center" shrinkToFit="1"/>
      <protection locked="0"/>
    </xf>
    <xf numFmtId="181" fontId="0" fillId="0" borderId="11" xfId="0" applyNumberFormat="1" applyFont="1" applyFill="1" applyBorder="1" applyAlignment="1" applyProtection="1">
      <alignment horizontal="right" vertical="center" shrinkToFit="1"/>
      <protection/>
    </xf>
    <xf numFmtId="0" fontId="0" fillId="0" borderId="11" xfId="0"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right" vertical="center" shrinkToFit="1"/>
      <protection locked="0"/>
    </xf>
    <xf numFmtId="176" fontId="0" fillId="0" borderId="11"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vertical="center" wrapText="1"/>
      <protection/>
    </xf>
    <xf numFmtId="0" fontId="9" fillId="0" borderId="11"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locked="0"/>
    </xf>
    <xf numFmtId="0" fontId="11" fillId="0" borderId="11" xfId="0" applyNumberFormat="1" applyFont="1" applyFill="1" applyBorder="1" applyAlignment="1" applyProtection="1">
      <alignment vertical="center" wrapText="1"/>
      <protection locked="0"/>
    </xf>
    <xf numFmtId="0" fontId="21" fillId="0" borderId="11" xfId="0" applyFont="1" applyFill="1" applyBorder="1" applyAlignment="1" applyProtection="1">
      <alignment vertical="center"/>
      <protection locked="0"/>
    </xf>
    <xf numFmtId="176" fontId="18" fillId="0" borderId="11" xfId="0" applyNumberFormat="1" applyFont="1" applyFill="1" applyBorder="1" applyAlignment="1" applyProtection="1">
      <alignment horizontal="right" vertical="center" shrinkToFit="1"/>
      <protection/>
    </xf>
    <xf numFmtId="176" fontId="0" fillId="0" borderId="0" xfId="0" applyNumberFormat="1" applyFont="1" applyFill="1" applyAlignment="1" applyProtection="1">
      <alignment horizontal="right" vertical="center"/>
      <protection/>
    </xf>
    <xf numFmtId="0" fontId="5" fillId="0" borderId="0" xfId="0" applyFont="1" applyFill="1" applyAlignment="1" applyProtection="1">
      <alignment vertical="center" wrapText="1"/>
      <protection/>
    </xf>
    <xf numFmtId="0" fontId="5" fillId="0" borderId="0" xfId="0" applyFont="1" applyFill="1" applyAlignment="1" applyProtection="1">
      <alignment wrapText="1"/>
      <protection/>
    </xf>
    <xf numFmtId="0" fontId="22" fillId="0" borderId="0" xfId="0" applyFont="1" applyAlignment="1">
      <alignment horizontal="center" vertical="center"/>
    </xf>
    <xf numFmtId="0" fontId="0" fillId="0" borderId="0" xfId="0" applyAlignment="1">
      <alignment horizontal="left" vertical="center"/>
    </xf>
    <xf numFmtId="0" fontId="5" fillId="0" borderId="0" xfId="0" applyFont="1" applyAlignment="1">
      <alignment vertical="center"/>
    </xf>
    <xf numFmtId="0" fontId="23" fillId="0" borderId="0" xfId="0" applyFont="1" applyAlignment="1">
      <alignment horizontal="center" vertical="center"/>
    </xf>
    <xf numFmtId="0" fontId="18" fillId="0" borderId="0" xfId="0" applyFont="1" applyAlignment="1">
      <alignment horizontal="left" vertical="center"/>
    </xf>
    <xf numFmtId="0" fontId="5" fillId="0" borderId="0" xfId="0" applyFont="1" applyAlignment="1">
      <alignment horizontal="center" vertical="center"/>
    </xf>
    <xf numFmtId="0" fontId="18" fillId="0" borderId="11" xfId="0" applyFont="1" applyBorder="1" applyAlignment="1">
      <alignment horizontal="center" vertic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vertical="center"/>
    </xf>
    <xf numFmtId="0" fontId="11" fillId="0" borderId="11" xfId="0" applyFont="1" applyBorder="1" applyAlignment="1">
      <alignment vertical="center" wrapText="1"/>
    </xf>
    <xf numFmtId="0" fontId="11" fillId="0" borderId="11" xfId="0" applyFont="1" applyBorder="1" applyAlignment="1">
      <alignment horizontal="center" vertical="center"/>
    </xf>
    <xf numFmtId="2" fontId="0" fillId="0" borderId="11" xfId="0" applyNumberFormat="1" applyBorder="1" applyAlignment="1">
      <alignment horizontal="center" vertical="center"/>
    </xf>
    <xf numFmtId="0" fontId="11" fillId="0" borderId="11" xfId="0" applyFont="1" applyBorder="1" applyAlignment="1">
      <alignment horizontal="left" vertical="center"/>
    </xf>
    <xf numFmtId="0" fontId="22" fillId="0" borderId="11" xfId="0" applyFont="1" applyBorder="1" applyAlignment="1">
      <alignment horizontal="center" vertical="center"/>
    </xf>
    <xf numFmtId="0" fontId="22"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1" xfId="0" applyFont="1" applyBorder="1" applyAlignment="1">
      <alignment horizontal="left" vertical="center"/>
    </xf>
    <xf numFmtId="0" fontId="24" fillId="0" borderId="0" xfId="0" applyFont="1" applyFill="1" applyAlignment="1" applyProtection="1">
      <alignment horizontal="center" vertical="center"/>
      <protection/>
    </xf>
    <xf numFmtId="182" fontId="0" fillId="0" borderId="11" xfId="0" applyNumberFormat="1" applyFont="1" applyFill="1" applyBorder="1" applyAlignment="1" applyProtection="1">
      <alignment horizontal="right" vertical="center"/>
      <protection/>
    </xf>
    <xf numFmtId="182" fontId="5" fillId="0" borderId="11"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182" fontId="0" fillId="0" borderId="11" xfId="0" applyNumberFormat="1" applyFont="1" applyFill="1" applyBorder="1" applyAlignment="1" applyProtection="1">
      <alignment horizontal="right" vertical="center" shrinkToFit="1"/>
      <protection/>
    </xf>
    <xf numFmtId="176" fontId="0" fillId="0" borderId="11" xfId="0" applyNumberFormat="1" applyFont="1" applyFill="1" applyBorder="1" applyAlignment="1" applyProtection="1">
      <alignment vertical="center" shrinkToFit="1"/>
      <protection/>
    </xf>
    <xf numFmtId="0" fontId="25" fillId="0" borderId="0" xfId="0" applyNumberFormat="1" applyFont="1" applyFill="1" applyAlignment="1" applyProtection="1">
      <alignment vertical="center"/>
      <protection locked="0"/>
    </xf>
    <xf numFmtId="0" fontId="11" fillId="0" borderId="0" xfId="0" applyFont="1" applyFill="1" applyAlignment="1" applyProtection="1">
      <alignment/>
      <protection locked="0"/>
    </xf>
    <xf numFmtId="0" fontId="20" fillId="0" borderId="0" xfId="0" applyFont="1" applyFill="1" applyAlignment="1" applyProtection="1">
      <alignment/>
      <protection locked="0"/>
    </xf>
    <xf numFmtId="0" fontId="4" fillId="0" borderId="0" xfId="0" applyFont="1" applyFill="1" applyAlignment="1" applyProtection="1">
      <alignment/>
      <protection locked="0"/>
    </xf>
    <xf numFmtId="0" fontId="4" fillId="24" borderId="0" xfId="0" applyFont="1" applyFill="1" applyAlignment="1" applyProtection="1">
      <alignmen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vertical="center"/>
      <protection locked="0"/>
    </xf>
    <xf numFmtId="0" fontId="4" fillId="24" borderId="0" xfId="0" applyFont="1" applyFill="1" applyAlignment="1" applyProtection="1">
      <alignment vertical="center"/>
      <protection/>
    </xf>
    <xf numFmtId="0" fontId="5" fillId="24" borderId="0" xfId="0" applyFont="1" applyFill="1" applyAlignment="1" applyProtection="1">
      <alignment vertical="center"/>
      <protection locked="0"/>
    </xf>
    <xf numFmtId="0" fontId="11" fillId="0" borderId="0" xfId="0" applyFont="1" applyFill="1" applyAlignment="1" applyProtection="1">
      <alignment wrapText="1" shrinkToFit="1"/>
      <protection locked="0"/>
    </xf>
    <xf numFmtId="0" fontId="11" fillId="0" borderId="0" xfId="0" applyFont="1" applyFill="1" applyAlignment="1" applyProtection="1">
      <alignment horizontal="center"/>
      <protection locked="0"/>
    </xf>
    <xf numFmtId="176" fontId="11" fillId="0" borderId="0" xfId="0" applyNumberFormat="1" applyFont="1" applyFill="1" applyAlignment="1" applyProtection="1">
      <alignment horizontal="center"/>
      <protection locked="0"/>
    </xf>
    <xf numFmtId="178" fontId="11" fillId="0" borderId="0" xfId="0" applyNumberFormat="1" applyFont="1" applyFill="1" applyAlignment="1" applyProtection="1">
      <alignment/>
      <protection locked="0"/>
    </xf>
    <xf numFmtId="0" fontId="16" fillId="0" borderId="0" xfId="0" applyFont="1" applyFill="1" applyAlignment="1" applyProtection="1">
      <alignment wrapText="1"/>
      <protection locked="0"/>
    </xf>
    <xf numFmtId="0" fontId="0" fillId="0" borderId="0" xfId="0" applyFont="1" applyFill="1" applyAlignment="1" applyProtection="1">
      <alignment/>
      <protection locked="0"/>
    </xf>
    <xf numFmtId="0" fontId="0" fillId="0" borderId="0" xfId="0" applyFont="1" applyFill="1" applyAlignment="1" applyProtection="1">
      <alignment wrapText="1" shrinkToFit="1"/>
      <protection locked="0"/>
    </xf>
    <xf numFmtId="0" fontId="17" fillId="0" borderId="0" xfId="0" applyNumberFormat="1" applyFont="1" applyFill="1" applyAlignment="1" applyProtection="1">
      <alignment horizontal="center" vertical="center" wrapText="1"/>
      <protection locked="0"/>
    </xf>
    <xf numFmtId="0" fontId="17" fillId="0" borderId="0" xfId="0" applyNumberFormat="1" applyFont="1" applyFill="1" applyAlignment="1" applyProtection="1">
      <alignment horizontal="center" vertical="center"/>
      <protection locked="0"/>
    </xf>
    <xf numFmtId="176" fontId="17" fillId="0" borderId="0" xfId="0" applyNumberFormat="1" applyFont="1" applyFill="1" applyAlignment="1" applyProtection="1">
      <alignment horizontal="center" vertical="center"/>
      <protection/>
    </xf>
    <xf numFmtId="176" fontId="17" fillId="0" borderId="0" xfId="0" applyNumberFormat="1" applyFont="1" applyFill="1" applyAlignment="1" applyProtection="1">
      <alignment horizontal="center" vertical="center"/>
      <protection locked="0"/>
    </xf>
    <xf numFmtId="178" fontId="17"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left" vertical="center" wrapText="1" shrinkToFit="1"/>
      <protection locked="0"/>
    </xf>
    <xf numFmtId="176" fontId="16" fillId="0" borderId="0" xfId="0" applyNumberFormat="1" applyFont="1" applyFill="1" applyAlignment="1" applyProtection="1">
      <alignment horizontal="center" vertical="center"/>
      <protection locked="0"/>
    </xf>
    <xf numFmtId="178" fontId="16" fillId="0" borderId="0" xfId="0" applyNumberFormat="1" applyFont="1" applyFill="1" applyAlignment="1" applyProtection="1">
      <alignment vertical="center"/>
      <protection locked="0"/>
    </xf>
    <xf numFmtId="0" fontId="14" fillId="0" borderId="11" xfId="0" applyFont="1" applyFill="1" applyBorder="1" applyAlignment="1" applyProtection="1">
      <alignment horizontal="center" vertical="center" wrapText="1" shrinkToFit="1"/>
      <protection locked="0"/>
    </xf>
    <xf numFmtId="176" fontId="14" fillId="0" borderId="11" xfId="0" applyNumberFormat="1" applyFont="1" applyFill="1" applyBorder="1" applyAlignment="1" applyProtection="1">
      <alignment horizontal="center" vertical="center" wrapText="1"/>
      <protection locked="0"/>
    </xf>
    <xf numFmtId="176" fontId="16" fillId="0" borderId="11" xfId="0" applyNumberFormat="1" applyFont="1" applyFill="1" applyBorder="1" applyAlignment="1" applyProtection="1">
      <alignment horizontal="center" vertical="center"/>
      <protection locked="0"/>
    </xf>
    <xf numFmtId="178" fontId="14" fillId="0" borderId="11" xfId="0" applyNumberFormat="1" applyFont="1" applyFill="1" applyBorder="1" applyAlignment="1" applyProtection="1">
      <alignment horizontal="center" vertical="center" wrapText="1"/>
      <protection/>
    </xf>
    <xf numFmtId="49" fontId="26"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horizontal="center" vertical="center" shrinkToFit="1"/>
      <protection/>
    </xf>
    <xf numFmtId="180" fontId="4" fillId="0" borderId="11" xfId="0" applyNumberFormat="1" applyFont="1" applyFill="1" applyBorder="1" applyAlignment="1" applyProtection="1">
      <alignment vertical="center" shrinkToFit="1"/>
      <protection/>
    </xf>
    <xf numFmtId="49" fontId="26" fillId="24" borderId="11" xfId="0" applyNumberFormat="1" applyFont="1" applyFill="1" applyBorder="1" applyAlignment="1" applyProtection="1">
      <alignment horizontal="left" vertical="center" wrapText="1" shrinkToFit="1"/>
      <protection/>
    </xf>
    <xf numFmtId="176" fontId="4" fillId="24" borderId="11" xfId="0" applyNumberFormat="1" applyFont="1" applyFill="1" applyBorder="1" applyAlignment="1" applyProtection="1">
      <alignment horizontal="center" vertical="center" shrinkToFit="1"/>
      <protection/>
    </xf>
    <xf numFmtId="49" fontId="27" fillId="0" borderId="11" xfId="0" applyNumberFormat="1" applyFont="1" applyFill="1" applyBorder="1" applyAlignment="1" applyProtection="1">
      <alignment horizontal="left" vertical="center" wrapText="1" shrinkToFit="1"/>
      <protection/>
    </xf>
    <xf numFmtId="176" fontId="5" fillId="0" borderId="11" xfId="0" applyNumberFormat="1" applyFont="1" applyFill="1" applyBorder="1" applyAlignment="1" applyProtection="1">
      <alignment horizontal="center" vertical="center" shrinkToFit="1"/>
      <protection/>
    </xf>
    <xf numFmtId="178" fontId="25" fillId="0" borderId="0" xfId="0" applyNumberFormat="1" applyFont="1" applyFill="1" applyAlignment="1" applyProtection="1">
      <alignment vertical="center"/>
      <protection locked="0"/>
    </xf>
    <xf numFmtId="0" fontId="28" fillId="0" borderId="0" xfId="0" applyNumberFormat="1" applyFont="1" applyFill="1" applyAlignment="1" applyProtection="1">
      <alignment vertical="center"/>
      <protection locked="0"/>
    </xf>
    <xf numFmtId="0" fontId="2" fillId="0" borderId="0" xfId="0" applyFont="1" applyFill="1" applyAlignment="1" applyProtection="1">
      <alignment horizontal="center" vertical="center" wrapText="1"/>
      <protection locked="0"/>
    </xf>
    <xf numFmtId="176" fontId="11" fillId="0" borderId="0" xfId="0" applyNumberFormat="1" applyFont="1" applyFill="1" applyAlignment="1" applyProtection="1">
      <alignment/>
      <protection locked="0"/>
    </xf>
    <xf numFmtId="0" fontId="2" fillId="0" borderId="11" xfId="0" applyFont="1" applyFill="1" applyBorder="1" applyAlignment="1" applyProtection="1">
      <alignment horizontal="center" vertical="center" wrapText="1"/>
      <protection locked="0"/>
    </xf>
    <xf numFmtId="178" fontId="20" fillId="0" borderId="0" xfId="0" applyNumberFormat="1" applyFont="1" applyFill="1" applyAlignment="1" applyProtection="1">
      <alignment/>
      <protection locked="0"/>
    </xf>
    <xf numFmtId="0" fontId="26" fillId="0" borderId="11" xfId="0" applyFont="1" applyFill="1" applyBorder="1" applyAlignment="1" applyProtection="1">
      <alignment vertical="center" wrapText="1"/>
      <protection locked="0"/>
    </xf>
    <xf numFmtId="0" fontId="4" fillId="0" borderId="0" xfId="0" applyNumberFormat="1" applyFont="1" applyFill="1" applyBorder="1" applyAlignment="1" applyProtection="1">
      <alignment/>
      <protection locked="0"/>
    </xf>
    <xf numFmtId="0" fontId="4" fillId="0" borderId="11" xfId="0" applyNumberFormat="1" applyFont="1" applyFill="1" applyBorder="1" applyAlignment="1" applyProtection="1">
      <alignment horizontal="left" vertical="center" wrapText="1"/>
      <protection/>
    </xf>
    <xf numFmtId="0" fontId="26" fillId="24" borderId="11" xfId="0" applyFont="1" applyFill="1" applyBorder="1" applyAlignment="1" applyProtection="1">
      <alignment vertical="center" wrapText="1" shrinkToFit="1"/>
      <protection locked="0"/>
    </xf>
    <xf numFmtId="10" fontId="4" fillId="24" borderId="0" xfId="0" applyNumberFormat="1" applyFont="1" applyFill="1" applyAlignment="1" applyProtection="1">
      <alignment/>
      <protection locked="0"/>
    </xf>
    <xf numFmtId="0" fontId="4" fillId="24" borderId="11" xfId="0" applyNumberFormat="1" applyFont="1" applyFill="1" applyBorder="1" applyAlignment="1" applyProtection="1">
      <alignment horizontal="left" vertical="center" wrapText="1"/>
      <protection/>
    </xf>
    <xf numFmtId="49" fontId="4" fillId="24" borderId="22" xfId="0" applyNumberFormat="1" applyFont="1" applyFill="1" applyBorder="1" applyAlignment="1" applyProtection="1">
      <alignment horizontal="left" vertical="center" wrapText="1"/>
      <protection/>
    </xf>
    <xf numFmtId="0" fontId="27" fillId="0" borderId="11" xfId="0" applyFont="1" applyFill="1" applyBorder="1" applyAlignment="1" applyProtection="1">
      <alignment vertical="center" wrapText="1" shrinkToFit="1"/>
      <protection locked="0"/>
    </xf>
    <xf numFmtId="10" fontId="5" fillId="0" borderId="0" xfId="0" applyNumberFormat="1" applyFont="1" applyFill="1" applyAlignment="1" applyProtection="1">
      <alignment/>
      <protection locked="0"/>
    </xf>
    <xf numFmtId="0" fontId="5" fillId="0" borderId="11" xfId="0" applyNumberFormat="1" applyFont="1" applyFill="1" applyBorder="1" applyAlignment="1" applyProtection="1">
      <alignment horizontal="left" vertical="center" wrapText="1"/>
      <protection/>
    </xf>
    <xf numFmtId="49" fontId="5" fillId="0" borderId="22" xfId="0" applyNumberFormat="1" applyFont="1" applyFill="1" applyBorder="1" applyAlignment="1" applyProtection="1">
      <alignment horizontal="left" vertical="center" wrapText="1"/>
      <protection/>
    </xf>
    <xf numFmtId="0" fontId="27" fillId="0" borderId="11" xfId="0" applyFont="1" applyFill="1" applyBorder="1" applyAlignment="1" applyProtection="1">
      <alignment vertical="center"/>
      <protection/>
    </xf>
    <xf numFmtId="0" fontId="5" fillId="0" borderId="0" xfId="0" applyFont="1" applyFill="1" applyAlignment="1" applyProtection="1">
      <alignment/>
      <protection locked="0"/>
    </xf>
    <xf numFmtId="0" fontId="27" fillId="0" borderId="11" xfId="0" applyFont="1" applyFill="1" applyBorder="1" applyAlignment="1" applyProtection="1">
      <alignment vertical="center" wrapText="1"/>
      <protection locked="0"/>
    </xf>
    <xf numFmtId="176" fontId="14" fillId="0" borderId="11" xfId="0" applyNumberFormat="1" applyFont="1" applyFill="1" applyBorder="1" applyAlignment="1" applyProtection="1">
      <alignment vertical="center" wrapText="1"/>
      <protection/>
    </xf>
    <xf numFmtId="176" fontId="14" fillId="0" borderId="23" xfId="0" applyNumberFormat="1" applyFont="1" applyFill="1" applyBorder="1" applyAlignment="1" applyProtection="1">
      <alignment vertical="center" wrapText="1"/>
      <protection locked="0"/>
    </xf>
    <xf numFmtId="176" fontId="14" fillId="0" borderId="11" xfId="0" applyNumberFormat="1" applyFont="1" applyFill="1" applyBorder="1" applyAlignment="1" applyProtection="1">
      <alignment vertical="center" wrapText="1"/>
      <protection locked="0"/>
    </xf>
    <xf numFmtId="176" fontId="4" fillId="0" borderId="11" xfId="0" applyNumberFormat="1" applyFont="1" applyFill="1" applyBorder="1" applyAlignment="1" applyProtection="1">
      <alignment vertical="center" shrinkToFit="1"/>
      <protection/>
    </xf>
    <xf numFmtId="0" fontId="4" fillId="0" borderId="0" xfId="0" applyFont="1" applyFill="1" applyAlignment="1" applyProtection="1">
      <alignment wrapText="1" shrinkToFit="1"/>
      <protection locked="0"/>
    </xf>
    <xf numFmtId="176" fontId="4" fillId="24" borderId="11" xfId="0" applyNumberFormat="1" applyFont="1" applyFill="1" applyBorder="1" applyAlignment="1" applyProtection="1">
      <alignment vertical="center" shrinkToFit="1"/>
      <protection/>
    </xf>
    <xf numFmtId="0" fontId="5" fillId="0" borderId="0" xfId="0" applyFont="1" applyFill="1" applyAlignment="1" applyProtection="1">
      <alignment wrapText="1" shrinkToFit="1"/>
      <protection locked="0"/>
    </xf>
    <xf numFmtId="0" fontId="4" fillId="24" borderId="0" xfId="0" applyFont="1" applyFill="1" applyAlignment="1" applyProtection="1">
      <alignment/>
      <protection locked="0"/>
    </xf>
    <xf numFmtId="0" fontId="4" fillId="0" borderId="0" xfId="0" applyFont="1" applyFill="1" applyAlignment="1" applyProtection="1">
      <alignment/>
      <protection/>
    </xf>
    <xf numFmtId="0" fontId="5" fillId="0" borderId="0" xfId="0" applyFont="1" applyFill="1" applyAlignment="1" applyProtection="1">
      <alignment/>
      <protection/>
    </xf>
    <xf numFmtId="178" fontId="27" fillId="0" borderId="11" xfId="0" applyNumberFormat="1" applyFont="1" applyFill="1" applyBorder="1" applyAlignment="1">
      <alignment vertical="center" wrapText="1"/>
    </xf>
    <xf numFmtId="0" fontId="27" fillId="0" borderId="11" xfId="0" applyFont="1" applyFill="1" applyBorder="1" applyAlignment="1" applyProtection="1">
      <alignment wrapText="1"/>
      <protection locked="0"/>
    </xf>
    <xf numFmtId="176" fontId="5" fillId="0" borderId="11" xfId="0" applyNumberFormat="1" applyFont="1" applyFill="1" applyBorder="1" applyAlignment="1" applyProtection="1">
      <alignment vertical="center" shrinkToFit="1"/>
      <protection/>
    </xf>
    <xf numFmtId="0" fontId="27" fillId="0" borderId="11" xfId="0" applyFont="1" applyFill="1" applyBorder="1" applyAlignment="1" applyProtection="1">
      <alignment vertical="center"/>
      <protection locked="0"/>
    </xf>
    <xf numFmtId="178" fontId="4" fillId="24" borderId="0" xfId="0" applyNumberFormat="1" applyFont="1" applyFill="1" applyAlignment="1" applyProtection="1">
      <alignment/>
      <protection locked="0"/>
    </xf>
    <xf numFmtId="0" fontId="11" fillId="0" borderId="11" xfId="0" applyNumberFormat="1" applyFont="1" applyFill="1" applyBorder="1" applyAlignment="1" applyProtection="1">
      <alignment horizontal="left" vertical="center"/>
      <protection/>
    </xf>
    <xf numFmtId="178" fontId="5" fillId="0" borderId="0" xfId="0" applyNumberFormat="1" applyFont="1" applyFill="1" applyAlignment="1" applyProtection="1">
      <alignment/>
      <protection locked="0"/>
    </xf>
    <xf numFmtId="49" fontId="27" fillId="0" borderId="22" xfId="0" applyNumberFormat="1" applyFont="1" applyFill="1" applyBorder="1" applyAlignment="1" applyProtection="1">
      <alignment horizontal="left" vertical="center" wrapText="1" shrinkToFit="1"/>
      <protection/>
    </xf>
    <xf numFmtId="0" fontId="27" fillId="0" borderId="11" xfId="0" applyFont="1" applyFill="1" applyBorder="1" applyAlignment="1">
      <alignment horizontal="justify" vertical="center"/>
    </xf>
    <xf numFmtId="49" fontId="27" fillId="0" borderId="11" xfId="0" applyNumberFormat="1" applyFont="1" applyFill="1" applyBorder="1" applyAlignment="1">
      <alignment vertical="center"/>
    </xf>
    <xf numFmtId="49" fontId="6" fillId="0" borderId="11" xfId="0" applyNumberFormat="1" applyFont="1" applyFill="1" applyBorder="1" applyAlignment="1">
      <alignment vertical="center"/>
    </xf>
    <xf numFmtId="0" fontId="26" fillId="24" borderId="11" xfId="0" applyFont="1" applyFill="1" applyBorder="1" applyAlignment="1" applyProtection="1">
      <alignment vertical="center" wrapText="1"/>
      <protection locked="0"/>
    </xf>
    <xf numFmtId="10" fontId="4" fillId="24" borderId="0" xfId="0" applyNumberFormat="1" applyFont="1" applyFill="1" applyAlignment="1" applyProtection="1">
      <alignment vertical="center"/>
      <protection locked="0"/>
    </xf>
    <xf numFmtId="0" fontId="4" fillId="24" borderId="0" xfId="0" applyFont="1" applyFill="1" applyAlignment="1" applyProtection="1">
      <alignment wrapText="1" shrinkToFit="1"/>
      <protection locked="0"/>
    </xf>
    <xf numFmtId="0" fontId="4" fillId="24" borderId="0" xfId="0" applyFont="1" applyFill="1" applyAlignment="1" applyProtection="1">
      <alignment/>
      <protection/>
    </xf>
    <xf numFmtId="49" fontId="27" fillId="24" borderId="11" xfId="0" applyNumberFormat="1" applyFont="1" applyFill="1" applyBorder="1" applyAlignment="1" applyProtection="1">
      <alignment horizontal="left" vertical="center" wrapText="1" shrinkToFit="1"/>
      <protection/>
    </xf>
    <xf numFmtId="176" fontId="5" fillId="24" borderId="11" xfId="0" applyNumberFormat="1" applyFont="1" applyFill="1" applyBorder="1" applyAlignment="1" applyProtection="1">
      <alignment horizontal="center" vertical="center" shrinkToFit="1"/>
      <protection/>
    </xf>
    <xf numFmtId="49" fontId="29" fillId="0" borderId="11" xfId="0" applyNumberFormat="1" applyFont="1" applyFill="1" applyBorder="1" applyAlignment="1">
      <alignment vertical="center"/>
    </xf>
    <xf numFmtId="0" fontId="27" fillId="24" borderId="11" xfId="0" applyFont="1" applyFill="1" applyBorder="1" applyAlignment="1" applyProtection="1">
      <alignment vertical="center" wrapText="1"/>
      <protection locked="0"/>
    </xf>
    <xf numFmtId="10" fontId="5" fillId="24" borderId="0" xfId="0" applyNumberFormat="1" applyFont="1" applyFill="1" applyAlignment="1" applyProtection="1">
      <alignment/>
      <protection locked="0"/>
    </xf>
    <xf numFmtId="0" fontId="5" fillId="24" borderId="11" xfId="0" applyNumberFormat="1" applyFont="1" applyFill="1" applyBorder="1" applyAlignment="1" applyProtection="1">
      <alignment horizontal="left" vertical="center" wrapText="1"/>
      <protection/>
    </xf>
    <xf numFmtId="49" fontId="5" fillId="24" borderId="22" xfId="0" applyNumberFormat="1" applyFont="1" applyFill="1" applyBorder="1" applyAlignment="1" applyProtection="1">
      <alignment horizontal="left" vertical="center" wrapText="1"/>
      <protection/>
    </xf>
    <xf numFmtId="0" fontId="5" fillId="24" borderId="0" xfId="0" applyFont="1" applyFill="1" applyAlignment="1" applyProtection="1">
      <alignment vertical="center"/>
      <protection/>
    </xf>
    <xf numFmtId="0" fontId="5" fillId="24" borderId="0" xfId="0" applyFont="1" applyFill="1" applyAlignment="1" applyProtection="1">
      <alignment/>
      <protection locked="0"/>
    </xf>
    <xf numFmtId="180" fontId="4" fillId="0" borderId="0" xfId="0" applyNumberFormat="1" applyFont="1" applyFill="1" applyBorder="1" applyAlignment="1" applyProtection="1">
      <alignment vertical="center" shrinkToFit="1"/>
      <protection/>
    </xf>
    <xf numFmtId="176" fontId="27" fillId="0" borderId="11" xfId="0" applyNumberFormat="1" applyFont="1" applyFill="1" applyBorder="1" applyAlignment="1" applyProtection="1">
      <alignment vertical="center" wrapText="1"/>
      <protection locked="0"/>
    </xf>
    <xf numFmtId="49" fontId="4" fillId="24" borderId="24" xfId="0" applyNumberFormat="1" applyFont="1" applyFill="1" applyBorder="1" applyAlignment="1" applyProtection="1">
      <alignment horizontal="left" vertical="center" wrapText="1"/>
      <protection/>
    </xf>
    <xf numFmtId="49" fontId="5" fillId="0" borderId="24" xfId="0" applyNumberFormat="1" applyFont="1" applyFill="1" applyBorder="1" applyAlignment="1" applyProtection="1">
      <alignment horizontal="left" vertical="center" wrapText="1"/>
      <protection/>
    </xf>
    <xf numFmtId="0" fontId="9" fillId="24" borderId="0" xfId="0" applyFont="1" applyFill="1" applyAlignment="1" applyProtection="1">
      <alignment/>
      <protection locked="0"/>
    </xf>
    <xf numFmtId="49" fontId="4" fillId="24" borderId="11"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5" fillId="0" borderId="25" xfId="0" applyNumberFormat="1" applyFont="1" applyFill="1" applyBorder="1" applyAlignment="1" applyProtection="1">
      <alignment horizontal="left" vertical="center" wrapText="1"/>
      <protection/>
    </xf>
    <xf numFmtId="0" fontId="18" fillId="24" borderId="0" xfId="0" applyFont="1" applyFill="1" applyAlignment="1" applyProtection="1">
      <alignment wrapText="1" shrinkToFit="1"/>
      <protection locked="0"/>
    </xf>
    <xf numFmtId="0" fontId="9" fillId="24" borderId="0" xfId="0" applyFont="1" applyFill="1" applyAlignment="1" applyProtection="1">
      <alignment wrapText="1" shrinkToFit="1"/>
      <protection locked="0"/>
    </xf>
    <xf numFmtId="0" fontId="18" fillId="24" borderId="0" xfId="0" applyFont="1" applyFill="1" applyAlignment="1" applyProtection="1">
      <alignment/>
      <protection/>
    </xf>
    <xf numFmtId="180" fontId="11" fillId="0" borderId="0" xfId="0" applyNumberFormat="1" applyFont="1" applyFill="1" applyBorder="1" applyAlignment="1" applyProtection="1">
      <alignment/>
      <protection locked="0"/>
    </xf>
    <xf numFmtId="180" fontId="11" fillId="0" borderId="0" xfId="0" applyNumberFormat="1" applyFont="1" applyFill="1" applyAlignment="1" applyProtection="1">
      <alignment/>
      <protection locked="0"/>
    </xf>
    <xf numFmtId="0" fontId="2" fillId="0" borderId="0" xfId="0" applyNumberFormat="1" applyFont="1" applyFill="1" applyAlignment="1" applyProtection="1">
      <alignment vertical="center"/>
      <protection/>
    </xf>
    <xf numFmtId="0" fontId="14" fillId="0" borderId="0" xfId="0" applyFont="1" applyFill="1" applyAlignment="1" applyProtection="1">
      <alignment horizontal="center" vertical="center" wrapText="1"/>
      <protection/>
    </xf>
    <xf numFmtId="0" fontId="2" fillId="16" borderId="0" xfId="0" applyFont="1" applyFill="1" applyAlignment="1" applyProtection="1">
      <alignment vertical="center"/>
      <protection/>
    </xf>
    <xf numFmtId="0" fontId="30" fillId="0" borderId="0" xfId="0" applyFont="1" applyFill="1" applyAlignment="1" applyProtection="1">
      <alignment/>
      <protection/>
    </xf>
    <xf numFmtId="0" fontId="2" fillId="0" borderId="0" xfId="0" applyNumberFormat="1" applyFont="1" applyFill="1" applyAlignment="1" applyProtection="1">
      <alignment horizontal="right"/>
      <protection/>
    </xf>
    <xf numFmtId="0" fontId="2" fillId="0" borderId="0" xfId="0" applyNumberFormat="1" applyFont="1" applyFill="1" applyAlignment="1" applyProtection="1">
      <alignment/>
      <protection/>
    </xf>
    <xf numFmtId="0" fontId="15" fillId="0" borderId="0" xfId="0"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left" vertical="center"/>
      <protection/>
    </xf>
    <xf numFmtId="0" fontId="14" fillId="0" borderId="0" xfId="0" applyNumberFormat="1" applyFont="1" applyFill="1" applyAlignment="1" applyProtection="1">
      <alignment horizontal="center" vertical="center" wrapText="1"/>
      <protection/>
    </xf>
    <xf numFmtId="0" fontId="21" fillId="0" borderId="11" xfId="0" applyFont="1" applyFill="1" applyBorder="1" applyAlignment="1" applyProtection="1">
      <alignment horizontal="center" vertical="center"/>
      <protection locked="0"/>
    </xf>
    <xf numFmtId="182" fontId="0" fillId="0" borderId="11" xfId="0" applyNumberFormat="1" applyFont="1" applyFill="1" applyBorder="1" applyAlignment="1" applyProtection="1">
      <alignment vertical="center"/>
      <protection/>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protection locked="0"/>
    </xf>
    <xf numFmtId="0" fontId="2" fillId="0" borderId="0" xfId="26" applyNumberFormat="1" applyFont="1" applyFill="1" applyAlignment="1" applyProtection="1">
      <alignment horizontal="right" vertical="center"/>
      <protection/>
    </xf>
    <xf numFmtId="49" fontId="2" fillId="0" borderId="11" xfId="0" applyNumberFormat="1" applyFont="1" applyFill="1" applyBorder="1" applyAlignment="1" applyProtection="1">
      <alignment horizontal="left" vertical="center" wrapText="1" shrinkToFit="1"/>
      <protection/>
    </xf>
    <xf numFmtId="176" fontId="0" fillId="24" borderId="11" xfId="0" applyNumberFormat="1" applyFont="1" applyFill="1" applyBorder="1" applyAlignment="1" applyProtection="1">
      <alignment vertical="center" shrinkToFit="1"/>
      <protection/>
    </xf>
    <xf numFmtId="176" fontId="0" fillId="26" borderId="11" xfId="0" applyNumberFormat="1" applyFont="1" applyFill="1" applyBorder="1" applyAlignment="1" applyProtection="1">
      <alignment vertical="center" shrinkToFit="1"/>
      <protection/>
    </xf>
    <xf numFmtId="0" fontId="2" fillId="0" borderId="26" xfId="0" applyNumberFormat="1" applyFont="1" applyFill="1" applyBorder="1" applyAlignment="1" applyProtection="1">
      <alignment horizontal="left" vertical="center" wrapText="1" shrinkToFit="1"/>
      <protection/>
    </xf>
    <xf numFmtId="0" fontId="2" fillId="0" borderId="11" xfId="0" applyNumberFormat="1" applyFont="1" applyFill="1" applyBorder="1" applyAlignment="1" applyProtection="1">
      <alignment horizontal="left" vertical="center" wrapText="1" shrinkToFit="1"/>
      <protection/>
    </xf>
    <xf numFmtId="0" fontId="2" fillId="16" borderId="11" xfId="0" applyFont="1" applyFill="1" applyBorder="1" applyAlignment="1" applyProtection="1">
      <alignment horizontal="left" vertical="center"/>
      <protection locked="0"/>
    </xf>
    <xf numFmtId="182" fontId="0" fillId="16" borderId="11" xfId="0" applyNumberFormat="1" applyFont="1" applyFill="1" applyBorder="1" applyAlignment="1" applyProtection="1">
      <alignment vertical="center"/>
      <protection/>
    </xf>
    <xf numFmtId="0" fontId="2" fillId="16" borderId="11" xfId="0" applyNumberFormat="1" applyFont="1" applyFill="1" applyBorder="1" applyAlignment="1" applyProtection="1">
      <alignment horizontal="left" vertical="center" wrapText="1" shrinkToFit="1"/>
      <protection/>
    </xf>
    <xf numFmtId="49" fontId="2" fillId="16" borderId="11" xfId="0" applyNumberFormat="1" applyFont="1" applyFill="1" applyBorder="1" applyAlignment="1" applyProtection="1">
      <alignment horizontal="left" vertical="center" wrapText="1" shrinkToFit="1"/>
      <protection/>
    </xf>
    <xf numFmtId="176" fontId="0" fillId="16" borderId="11" xfId="0" applyNumberFormat="1" applyFont="1" applyFill="1" applyBorder="1" applyAlignment="1" applyProtection="1">
      <alignment vertical="center" shrinkToFit="1"/>
      <protection/>
    </xf>
    <xf numFmtId="0" fontId="2" fillId="16" borderId="0" xfId="0" applyFont="1" applyFill="1" applyAlignment="1" applyProtection="1">
      <alignment/>
      <protection/>
    </xf>
    <xf numFmtId="0" fontId="2" fillId="0" borderId="14" xfId="0" applyNumberFormat="1" applyFont="1" applyFill="1" applyBorder="1" applyAlignment="1" applyProtection="1">
      <alignment horizontal="left" vertical="center" wrapText="1" shrinkToFit="1"/>
      <protection/>
    </xf>
    <xf numFmtId="0" fontId="2" fillId="0" borderId="27" xfId="0" applyNumberFormat="1" applyFont="1" applyFill="1" applyBorder="1" applyAlignment="1" applyProtection="1">
      <alignment horizontal="left" vertical="center" wrapText="1" shrinkToFit="1"/>
      <protection/>
    </xf>
    <xf numFmtId="182" fontId="0" fillId="0" borderId="28" xfId="0" applyNumberFormat="1" applyFont="1" applyFill="1" applyBorder="1" applyAlignment="1" applyProtection="1">
      <alignment vertical="center"/>
      <protection/>
    </xf>
    <xf numFmtId="0" fontId="2" fillId="0" borderId="26"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wrapText="1"/>
      <protection/>
    </xf>
    <xf numFmtId="182" fontId="2" fillId="0" borderId="11" xfId="0" applyNumberFormat="1" applyFont="1" applyFill="1" applyBorder="1" applyAlignment="1" applyProtection="1">
      <alignment vertical="center" wrapText="1"/>
      <protection/>
    </xf>
    <xf numFmtId="182" fontId="2" fillId="0" borderId="11" xfId="0" applyNumberFormat="1" applyFont="1" applyFill="1" applyBorder="1" applyAlignment="1" applyProtection="1">
      <alignment vertical="center"/>
      <protection/>
    </xf>
    <xf numFmtId="176" fontId="0" fillId="0" borderId="11" xfId="0" applyNumberFormat="1" applyFont="1" applyFill="1" applyBorder="1" applyAlignment="1" applyProtection="1">
      <alignment horizontal="right" vertical="center"/>
      <protection/>
    </xf>
    <xf numFmtId="0" fontId="11" fillId="0" borderId="11" xfId="0" applyFont="1" applyBorder="1" applyAlignment="1">
      <alignment horizontal="justify" vertical="center"/>
    </xf>
    <xf numFmtId="0" fontId="30" fillId="0" borderId="11" xfId="0" applyFont="1" applyFill="1" applyBorder="1" applyAlignment="1" applyProtection="1">
      <alignment/>
      <protection/>
    </xf>
    <xf numFmtId="0" fontId="0" fillId="16" borderId="0" xfId="0" applyFill="1" applyAlignment="1" applyProtection="1">
      <alignment/>
      <protection/>
    </xf>
    <xf numFmtId="0" fontId="0" fillId="0" borderId="11" xfId="0" applyFont="1" applyBorder="1" applyAlignment="1">
      <alignment vertical="center"/>
    </xf>
    <xf numFmtId="176" fontId="0" fillId="0" borderId="11" xfId="0" applyNumberFormat="1" applyFont="1" applyFill="1" applyBorder="1" applyAlignment="1" applyProtection="1">
      <alignment horizontal="center" vertical="center" shrinkToFit="1"/>
      <protection/>
    </xf>
    <xf numFmtId="0" fontId="0" fillId="0" borderId="11" xfId="0" applyBorder="1" applyAlignment="1">
      <alignment horizontal="left" vertical="center"/>
    </xf>
    <xf numFmtId="0" fontId="0" fillId="0" borderId="12" xfId="0" applyFill="1" applyBorder="1" applyAlignment="1">
      <alignment horizontal="center" vertical="center"/>
    </xf>
    <xf numFmtId="0" fontId="0" fillId="0" borderId="11" xfId="0" applyBorder="1" applyAlignment="1">
      <alignment horizontal="left" vertical="center" wrapText="1"/>
    </xf>
    <xf numFmtId="0" fontId="5" fillId="0" borderId="0" xfId="60" applyFont="1" applyFill="1" applyBorder="1" applyAlignment="1">
      <alignment horizontal="center" vertical="center"/>
      <protection/>
    </xf>
    <xf numFmtId="0" fontId="5" fillId="0" borderId="0" xfId="16" applyFont="1" applyFill="1" applyBorder="1" applyAlignment="1">
      <alignment horizontal="center" vertical="center"/>
      <protection/>
    </xf>
    <xf numFmtId="0" fontId="5" fillId="0" borderId="0" xfId="60" applyFont="1" applyFill="1" applyBorder="1" applyAlignment="1">
      <alignment vertical="center"/>
      <protection/>
    </xf>
    <xf numFmtId="0" fontId="5" fillId="0" borderId="0" xfId="16" applyFont="1" applyFill="1" applyBorder="1" applyAlignment="1">
      <alignment vertical="center"/>
      <protection/>
    </xf>
    <xf numFmtId="0" fontId="0" fillId="0" borderId="0" xfId="0" applyBorder="1" applyAlignment="1">
      <alignment vertical="center"/>
    </xf>
    <xf numFmtId="0" fontId="2" fillId="0" borderId="0" xfId="0" applyFont="1" applyFill="1" applyAlignment="1" applyProtection="1">
      <alignment horizontal="right" vertical="center"/>
      <protection/>
    </xf>
    <xf numFmtId="0" fontId="11" fillId="0" borderId="11" xfId="0" applyFont="1" applyFill="1" applyBorder="1" applyAlignment="1" applyProtection="1">
      <alignment horizontal="left" vertical="center" wrapText="1"/>
      <protection/>
    </xf>
    <xf numFmtId="178" fontId="2" fillId="0" borderId="0" xfId="0" applyNumberFormat="1" applyFont="1" applyFill="1" applyAlignment="1" applyProtection="1">
      <alignment vertical="center"/>
      <protection/>
    </xf>
    <xf numFmtId="0" fontId="11" fillId="0" borderId="11"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vertical="center"/>
      <protection/>
    </xf>
    <xf numFmtId="0" fontId="0" fillId="0" borderId="0" xfId="0" applyFont="1" applyAlignment="1">
      <alignment vertical="center"/>
    </xf>
    <xf numFmtId="0" fontId="31" fillId="0" borderId="0" xfId="66" applyFont="1" applyAlignment="1" applyProtection="1">
      <alignment horizontal="center" vertical="center"/>
      <protection/>
    </xf>
    <xf numFmtId="0" fontId="0" fillId="0" borderId="0" xfId="66" applyFont="1" applyProtection="1">
      <alignment/>
      <protection/>
    </xf>
    <xf numFmtId="0" fontId="0" fillId="0" borderId="0" xfId="66" applyFont="1" applyAlignment="1" applyProtection="1">
      <alignment vertical="center"/>
      <protection/>
    </xf>
    <xf numFmtId="0" fontId="0" fillId="0" borderId="0" xfId="66" applyFont="1" applyAlignment="1" applyProtection="1">
      <alignment horizontal="right" vertical="center"/>
      <protection/>
    </xf>
    <xf numFmtId="0" fontId="0" fillId="0" borderId="11" xfId="66" applyFont="1" applyBorder="1" applyAlignment="1" applyProtection="1">
      <alignment horizontal="center" vertical="center"/>
      <protection/>
    </xf>
    <xf numFmtId="0" fontId="11" fillId="0" borderId="11" xfId="66" applyFont="1" applyBorder="1" applyAlignment="1" applyProtection="1">
      <alignment horizontal="center" vertical="center"/>
      <protection/>
    </xf>
    <xf numFmtId="0" fontId="11" fillId="0" borderId="11" xfId="66" applyFont="1" applyBorder="1" applyAlignment="1" applyProtection="1">
      <alignment vertical="center"/>
      <protection/>
    </xf>
    <xf numFmtId="0" fontId="0" fillId="0" borderId="11" xfId="66" applyFont="1" applyBorder="1" applyAlignment="1" applyProtection="1">
      <alignment vertical="center" shrinkToFit="1"/>
      <protection/>
    </xf>
    <xf numFmtId="0" fontId="0" fillId="0" borderId="11" xfId="66" applyFont="1" applyBorder="1" applyAlignment="1" applyProtection="1">
      <alignment vertical="center"/>
      <protection/>
    </xf>
    <xf numFmtId="0" fontId="0" fillId="0" borderId="0" xfId="0" applyAlignment="1">
      <alignment vertical="center"/>
    </xf>
    <xf numFmtId="0" fontId="11" fillId="0" borderId="0" xfId="0" applyFont="1" applyAlignment="1">
      <alignment vertical="center"/>
    </xf>
    <xf numFmtId="0" fontId="0" fillId="26" borderId="0" xfId="0" applyNumberFormat="1" applyFill="1" applyBorder="1" applyAlignment="1" applyProtection="1">
      <alignment vertical="center"/>
      <protection/>
    </xf>
    <xf numFmtId="0" fontId="0" fillId="26" borderId="0" xfId="0" applyNumberFormat="1" applyFill="1" applyBorder="1" applyAlignment="1" applyProtection="1">
      <alignment vertical="center"/>
      <protection/>
    </xf>
    <xf numFmtId="0" fontId="0" fillId="26" borderId="0" xfId="0" applyNumberFormat="1" applyFill="1" applyBorder="1" applyAlignment="1" applyProtection="1">
      <alignment/>
      <protection/>
    </xf>
    <xf numFmtId="0" fontId="32" fillId="26" borderId="0" xfId="0" applyNumberFormat="1" applyFont="1" applyFill="1" applyAlignment="1" applyProtection="1">
      <alignment horizontal="center" vertical="center"/>
      <protection/>
    </xf>
    <xf numFmtId="0" fontId="32" fillId="26" borderId="0" xfId="0" applyNumberFormat="1" applyFont="1" applyFill="1" applyBorder="1" applyAlignment="1" applyProtection="1">
      <alignment horizontal="center" vertical="center"/>
      <protection/>
    </xf>
    <xf numFmtId="0" fontId="32" fillId="26" borderId="0" xfId="0" applyNumberFormat="1" applyFont="1" applyFill="1" applyBorder="1" applyAlignment="1" applyProtection="1">
      <alignment horizontal="center" vertical="center"/>
      <protection/>
    </xf>
    <xf numFmtId="0" fontId="0" fillId="26" borderId="0" xfId="0" applyNumberFormat="1" applyFill="1" applyBorder="1" applyAlignment="1" applyProtection="1">
      <alignment vertical="center"/>
      <protection/>
    </xf>
    <xf numFmtId="0" fontId="0" fillId="26" borderId="0" xfId="0" applyNumberFormat="1" applyFill="1" applyAlignment="1" applyProtection="1">
      <alignment vertical="center"/>
      <protection/>
    </xf>
    <xf numFmtId="0" fontId="0" fillId="26" borderId="11" xfId="0" applyNumberFormat="1" applyFill="1" applyBorder="1" applyAlignment="1" applyProtection="1">
      <alignment vertical="center"/>
      <protection/>
    </xf>
    <xf numFmtId="0" fontId="0" fillId="26" borderId="11" xfId="0" applyNumberFormat="1" applyFill="1" applyBorder="1" applyAlignment="1" applyProtection="1">
      <alignment horizontal="center" vertical="center"/>
      <protection/>
    </xf>
    <xf numFmtId="0" fontId="0" fillId="0" borderId="11" xfId="0" applyBorder="1" applyAlignment="1">
      <alignment vertical="center"/>
    </xf>
    <xf numFmtId="0" fontId="11" fillId="26" borderId="26" xfId="0" applyNumberFormat="1" applyFont="1" applyFill="1" applyBorder="1" applyAlignment="1" applyProtection="1">
      <alignment horizontal="left" vertical="center"/>
      <protection/>
    </xf>
    <xf numFmtId="0" fontId="11" fillId="26" borderId="29" xfId="0" applyNumberFormat="1" applyFont="1" applyFill="1" applyBorder="1" applyAlignment="1" applyProtection="1">
      <alignment horizontal="center" vertical="center"/>
      <protection/>
    </xf>
    <xf numFmtId="180" fontId="11" fillId="27" borderId="26" xfId="0" applyNumberFormat="1" applyFont="1" applyFill="1" applyBorder="1" applyAlignment="1" applyProtection="1">
      <alignment horizontal="center" vertical="center"/>
      <protection/>
    </xf>
    <xf numFmtId="177" fontId="11" fillId="27" borderId="26" xfId="0" applyNumberFormat="1" applyFont="1" applyFill="1" applyBorder="1" applyAlignment="1" applyProtection="1">
      <alignment horizontal="center" vertical="center"/>
      <protection/>
    </xf>
    <xf numFmtId="180" fontId="11" fillId="0" borderId="26" xfId="0" applyNumberFormat="1" applyFont="1" applyBorder="1" applyAlignment="1">
      <alignment horizontal="center" vertical="center"/>
    </xf>
    <xf numFmtId="180" fontId="11" fillId="0" borderId="30" xfId="0" applyNumberFormat="1" applyFont="1" applyBorder="1" applyAlignment="1">
      <alignment horizontal="center" vertical="center"/>
    </xf>
    <xf numFmtId="183" fontId="11" fillId="26" borderId="30" xfId="0" applyNumberFormat="1" applyFont="1" applyFill="1" applyBorder="1" applyAlignment="1" applyProtection="1">
      <alignment horizontal="center" vertical="center"/>
      <protection/>
    </xf>
    <xf numFmtId="0" fontId="11" fillId="26" borderId="11" xfId="0" applyNumberFormat="1" applyFont="1" applyFill="1" applyBorder="1" applyAlignment="1" applyProtection="1">
      <alignment horizontal="left" vertical="center"/>
      <protection/>
    </xf>
    <xf numFmtId="0" fontId="11" fillId="26" borderId="25" xfId="0" applyNumberFormat="1" applyFont="1" applyFill="1" applyBorder="1" applyAlignment="1" applyProtection="1">
      <alignment horizontal="center" vertical="center"/>
      <protection/>
    </xf>
    <xf numFmtId="180" fontId="11" fillId="26" borderId="11" xfId="0" applyNumberFormat="1" applyFont="1" applyFill="1" applyBorder="1" applyAlignment="1" applyProtection="1">
      <alignment horizontal="center" vertical="center"/>
      <protection/>
    </xf>
    <xf numFmtId="180" fontId="11" fillId="0" borderId="11" xfId="0" applyNumberFormat="1" applyFont="1" applyBorder="1" applyAlignment="1">
      <alignment horizontal="center" vertical="center"/>
    </xf>
    <xf numFmtId="183" fontId="11" fillId="26" borderId="31" xfId="0" applyNumberFormat="1" applyFont="1" applyFill="1" applyBorder="1" applyAlignment="1" applyProtection="1">
      <alignment horizontal="center" vertical="center"/>
      <protection/>
    </xf>
    <xf numFmtId="0" fontId="11" fillId="26" borderId="32" xfId="0" applyNumberFormat="1" applyFont="1" applyFill="1" applyBorder="1" applyAlignment="1" applyProtection="1">
      <alignment horizontal="left" vertical="center"/>
      <protection/>
    </xf>
    <xf numFmtId="180" fontId="11" fillId="26" borderId="33" xfId="0" applyNumberFormat="1" applyFont="1" applyFill="1" applyBorder="1" applyAlignment="1" applyProtection="1">
      <alignment horizontal="center" vertical="center"/>
      <protection/>
    </xf>
    <xf numFmtId="180" fontId="11" fillId="27" borderId="11" xfId="0" applyNumberFormat="1" applyFont="1" applyFill="1" applyBorder="1" applyAlignment="1" applyProtection="1">
      <alignment horizontal="center" vertical="center"/>
      <protection/>
    </xf>
    <xf numFmtId="183" fontId="11" fillId="26" borderId="33" xfId="0" applyNumberFormat="1" applyFont="1" applyFill="1" applyBorder="1" applyAlignment="1" applyProtection="1">
      <alignment horizontal="center" vertical="center"/>
      <protection/>
    </xf>
    <xf numFmtId="0" fontId="11" fillId="26" borderId="34" xfId="0" applyNumberFormat="1" applyFont="1" applyFill="1" applyBorder="1" applyAlignment="1" applyProtection="1">
      <alignment horizontal="left" vertical="center"/>
      <protection/>
    </xf>
    <xf numFmtId="0" fontId="0" fillId="26" borderId="34" xfId="0" applyNumberFormat="1" applyFill="1" applyBorder="1" applyAlignment="1" applyProtection="1">
      <alignment horizontal="center" vertical="center"/>
      <protection/>
    </xf>
    <xf numFmtId="183" fontId="0" fillId="26" borderId="33" xfId="0" applyNumberFormat="1" applyFill="1" applyBorder="1" applyAlignment="1" applyProtection="1">
      <alignment horizontal="right" vertical="center"/>
      <protection/>
    </xf>
    <xf numFmtId="183" fontId="0" fillId="26" borderId="33" xfId="0" applyNumberFormat="1" applyFill="1" applyBorder="1" applyAlignment="1" applyProtection="1">
      <alignment horizontal="center" vertical="center"/>
      <protection/>
    </xf>
    <xf numFmtId="0" fontId="0" fillId="26" borderId="27" xfId="0" applyNumberFormat="1" applyFill="1" applyBorder="1" applyAlignment="1" applyProtection="1">
      <alignment horizontal="center" vertical="center"/>
      <protection/>
    </xf>
    <xf numFmtId="0" fontId="0" fillId="26" borderId="35" xfId="0" applyNumberFormat="1" applyFill="1" applyBorder="1" applyAlignment="1" applyProtection="1">
      <alignment horizontal="center" vertical="center"/>
      <protection/>
    </xf>
    <xf numFmtId="0" fontId="11" fillId="26" borderId="11" xfId="0" applyNumberFormat="1" applyFont="1" applyFill="1" applyBorder="1" applyAlignment="1" applyProtection="1">
      <alignment horizontal="center" vertical="center"/>
      <protection/>
    </xf>
    <xf numFmtId="183" fontId="11" fillId="26" borderId="31" xfId="0" applyNumberFormat="1" applyFont="1" applyFill="1" applyBorder="1" applyAlignment="1" applyProtection="1">
      <alignment horizontal="right" vertical="center"/>
      <protection/>
    </xf>
    <xf numFmtId="183" fontId="11" fillId="26" borderId="33" xfId="0" applyNumberFormat="1" applyFont="1" applyFill="1" applyBorder="1" applyAlignment="1" applyProtection="1">
      <alignment horizontal="right" vertical="center"/>
      <protection/>
    </xf>
    <xf numFmtId="0" fontId="0" fillId="26" borderId="0" xfId="0" applyNumberFormat="1" applyFill="1" applyBorder="1" applyAlignment="1" applyProtection="1">
      <alignment/>
      <protection/>
    </xf>
    <xf numFmtId="0" fontId="0" fillId="0" borderId="0" xfId="0" applyBorder="1" applyAlignment="1">
      <alignment vertical="center"/>
    </xf>
    <xf numFmtId="0" fontId="0" fillId="0" borderId="26" xfId="0" applyBorder="1" applyAlignment="1">
      <alignment vertical="center"/>
    </xf>
    <xf numFmtId="0" fontId="11" fillId="0" borderId="11" xfId="0" applyFont="1" applyBorder="1" applyAlignment="1">
      <alignment vertical="center"/>
    </xf>
    <xf numFmtId="178" fontId="22" fillId="0" borderId="11" xfId="0" applyNumberFormat="1" applyFont="1" applyBorder="1" applyAlignment="1">
      <alignment horizontal="center" vertical="center"/>
    </xf>
    <xf numFmtId="178" fontId="0" fillId="0" borderId="11" xfId="0" applyNumberFormat="1" applyBorder="1" applyAlignment="1">
      <alignment horizontal="center"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9" fillId="0" borderId="11" xfId="0" applyFont="1" applyBorder="1" applyAlignment="1">
      <alignment horizontal="center" vertical="center"/>
    </xf>
    <xf numFmtId="178" fontId="9" fillId="0" borderId="11" xfId="0" applyNumberFormat="1" applyFont="1" applyBorder="1" applyAlignment="1">
      <alignment horizontal="center" vertical="center"/>
    </xf>
    <xf numFmtId="178" fontId="11" fillId="0" borderId="0" xfId="0" applyNumberFormat="1" applyFont="1" applyAlignment="1">
      <alignment horizontal="center" vertical="center"/>
    </xf>
    <xf numFmtId="2" fontId="11"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0" fillId="0" borderId="0" xfId="0" applyAlignment="1">
      <alignment horizontal="right" vertical="center"/>
    </xf>
    <xf numFmtId="184" fontId="0" fillId="0" borderId="11" xfId="0" applyNumberFormat="1" applyBorder="1" applyAlignment="1">
      <alignment horizontal="center" vertical="center"/>
    </xf>
    <xf numFmtId="2" fontId="0" fillId="0" borderId="0" xfId="0" applyNumberFormat="1" applyBorder="1" applyAlignment="1">
      <alignment horizontal="center" vertical="center"/>
    </xf>
    <xf numFmtId="0" fontId="18" fillId="0" borderId="11" xfId="0" applyFont="1" applyBorder="1" applyAlignment="1">
      <alignment vertical="center"/>
    </xf>
    <xf numFmtId="177" fontId="0" fillId="0" borderId="11" xfId="0" applyNumberFormat="1" applyBorder="1" applyAlignment="1">
      <alignment horizontal="center" vertical="center"/>
    </xf>
  </cellXfs>
  <cellStyles count="53">
    <cellStyle name="Normal" xfId="0"/>
    <cellStyle name="Currency [0]" xfId="15"/>
    <cellStyle name="常规_表三"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2016项目管理财政分析表"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_表三_1"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tabSelected="1" workbookViewId="0" topLeftCell="A1">
      <selection activeCell="C7" sqref="C7"/>
    </sheetView>
  </sheetViews>
  <sheetFormatPr defaultColWidth="20.50390625" defaultRowHeight="30" customHeight="1"/>
  <cols>
    <col min="1" max="1" width="35.50390625" style="0" customWidth="1"/>
    <col min="2" max="2" width="18.00390625" style="0" customWidth="1"/>
    <col min="3" max="3" width="14.625" style="0" customWidth="1"/>
    <col min="4" max="4" width="17.25390625" style="0" customWidth="1"/>
    <col min="5" max="5" width="19.625" style="130" customWidth="1"/>
  </cols>
  <sheetData>
    <row r="1" spans="1:6" ht="33" customHeight="1">
      <c r="A1" s="180" t="s">
        <v>0</v>
      </c>
      <c r="B1" s="180"/>
      <c r="C1" s="180"/>
      <c r="D1" s="180"/>
      <c r="E1" s="180"/>
      <c r="F1" s="180"/>
    </row>
    <row r="2" spans="1:6" ht="21.75" customHeight="1">
      <c r="A2" s="129" t="s">
        <v>1</v>
      </c>
      <c r="F2" s="130" t="s">
        <v>2</v>
      </c>
    </row>
    <row r="3" spans="1:6" s="144" customFormat="1" ht="18" customHeight="1">
      <c r="A3" s="183" t="s">
        <v>3</v>
      </c>
      <c r="B3" s="183" t="s">
        <v>4</v>
      </c>
      <c r="C3" s="183" t="s">
        <v>5</v>
      </c>
      <c r="D3" s="183" t="s">
        <v>6</v>
      </c>
      <c r="E3" s="183" t="s">
        <v>7</v>
      </c>
      <c r="F3" s="183" t="s">
        <v>8</v>
      </c>
    </row>
    <row r="4" spans="1:6" ht="18" customHeight="1">
      <c r="A4" s="423" t="s">
        <v>9</v>
      </c>
      <c r="B4" s="184">
        <f>B5+B19</f>
        <v>43000</v>
      </c>
      <c r="C4" s="184">
        <f>C5+C19</f>
        <v>49175</v>
      </c>
      <c r="D4" s="412">
        <f>C4/B4*100</f>
        <v>114.36046511627906</v>
      </c>
      <c r="E4" s="412">
        <f>C4/41396*100</f>
        <v>118.79167069282057</v>
      </c>
      <c r="F4" s="186"/>
    </row>
    <row r="5" spans="1:6" ht="18" customHeight="1">
      <c r="A5" s="341" t="s">
        <v>10</v>
      </c>
      <c r="B5" s="184">
        <f>SUM(B6:B17)</f>
        <v>34590</v>
      </c>
      <c r="C5" s="184">
        <f>SUM(C6:C18)</f>
        <v>38162</v>
      </c>
      <c r="D5" s="412">
        <f aca="true" t="shared" si="0" ref="D5:D26">C5/B5*100</f>
        <v>110.32668401272043</v>
      </c>
      <c r="E5" s="412">
        <f>C5/30967*100</f>
        <v>123.234410824426</v>
      </c>
      <c r="F5" s="186"/>
    </row>
    <row r="6" spans="1:6" ht="18" customHeight="1">
      <c r="A6" s="186" t="s">
        <v>11</v>
      </c>
      <c r="B6" s="424">
        <v>21830</v>
      </c>
      <c r="C6" s="184">
        <v>20619</v>
      </c>
      <c r="D6" s="412">
        <f t="shared" si="0"/>
        <v>94.45258818140174</v>
      </c>
      <c r="E6" s="412">
        <f>C6/19007*100</f>
        <v>108.48108591571525</v>
      </c>
      <c r="F6" s="186"/>
    </row>
    <row r="7" spans="1:6" ht="18" customHeight="1">
      <c r="A7" s="186" t="s">
        <v>12</v>
      </c>
      <c r="B7" s="424">
        <v>600</v>
      </c>
      <c r="C7" s="184">
        <v>2288</v>
      </c>
      <c r="D7" s="412">
        <f t="shared" si="0"/>
        <v>381.33333333333337</v>
      </c>
      <c r="E7" s="412">
        <f>C7/596*100</f>
        <v>383.8926174496644</v>
      </c>
      <c r="F7" s="186"/>
    </row>
    <row r="8" spans="1:6" ht="18" customHeight="1">
      <c r="A8" s="186" t="s">
        <v>13</v>
      </c>
      <c r="B8" s="424">
        <v>650</v>
      </c>
      <c r="C8" s="184">
        <v>832</v>
      </c>
      <c r="D8" s="412">
        <f t="shared" si="0"/>
        <v>128</v>
      </c>
      <c r="E8" s="412">
        <f>C8/602*100</f>
        <v>138.20598006644516</v>
      </c>
      <c r="F8" s="186"/>
    </row>
    <row r="9" spans="1:6" ht="18" customHeight="1">
      <c r="A9" s="186" t="s">
        <v>14</v>
      </c>
      <c r="B9" s="424">
        <v>5500</v>
      </c>
      <c r="C9" s="184">
        <v>7102</v>
      </c>
      <c r="D9" s="412">
        <f t="shared" si="0"/>
        <v>129.12727272727273</v>
      </c>
      <c r="E9" s="412">
        <f>C9/5288*100</f>
        <v>134.30408472012104</v>
      </c>
      <c r="F9" s="186"/>
    </row>
    <row r="10" spans="1:6" ht="18" customHeight="1">
      <c r="A10" s="186" t="s">
        <v>15</v>
      </c>
      <c r="B10" s="424">
        <v>3740</v>
      </c>
      <c r="C10" s="184">
        <v>3875</v>
      </c>
      <c r="D10" s="412">
        <f t="shared" si="0"/>
        <v>103.6096256684492</v>
      </c>
      <c r="E10" s="412">
        <f>C10/3349*100</f>
        <v>115.70618094953717</v>
      </c>
      <c r="F10" s="186"/>
    </row>
    <row r="11" spans="1:6" ht="18" customHeight="1">
      <c r="A11" s="186" t="s">
        <v>16</v>
      </c>
      <c r="B11" s="424">
        <v>550</v>
      </c>
      <c r="C11" s="184">
        <v>1045</v>
      </c>
      <c r="D11" s="412">
        <f t="shared" si="0"/>
        <v>190</v>
      </c>
      <c r="E11" s="412">
        <f>C11/508*100</f>
        <v>205.70866141732282</v>
      </c>
      <c r="F11" s="186"/>
    </row>
    <row r="12" spans="1:6" ht="18" customHeight="1">
      <c r="A12" s="186" t="s">
        <v>17</v>
      </c>
      <c r="B12" s="424">
        <v>400</v>
      </c>
      <c r="C12" s="184">
        <v>667</v>
      </c>
      <c r="D12" s="412">
        <f t="shared" si="0"/>
        <v>166.75</v>
      </c>
      <c r="E12" s="412">
        <f>C12/366*100</f>
        <v>182.24043715846994</v>
      </c>
      <c r="F12" s="186"/>
    </row>
    <row r="13" spans="1:6" ht="18" customHeight="1">
      <c r="A13" s="186" t="s">
        <v>18</v>
      </c>
      <c r="B13" s="424">
        <v>1000</v>
      </c>
      <c r="C13" s="184">
        <v>1348</v>
      </c>
      <c r="D13" s="412">
        <f t="shared" si="0"/>
        <v>134.8</v>
      </c>
      <c r="E13" s="412">
        <f>C13/953*100</f>
        <v>141.44805876180482</v>
      </c>
      <c r="F13" s="186"/>
    </row>
    <row r="14" spans="1:6" ht="18" customHeight="1">
      <c r="A14" s="186" t="s">
        <v>19</v>
      </c>
      <c r="B14" s="424">
        <v>80</v>
      </c>
      <c r="C14" s="184">
        <v>62</v>
      </c>
      <c r="D14" s="412">
        <f t="shared" si="0"/>
        <v>77.5</v>
      </c>
      <c r="E14" s="412">
        <f>C14/77*100</f>
        <v>80.51948051948052</v>
      </c>
      <c r="F14" s="186"/>
    </row>
    <row r="15" spans="1:6" ht="18" customHeight="1">
      <c r="A15" s="186" t="s">
        <v>20</v>
      </c>
      <c r="B15" s="424">
        <v>150</v>
      </c>
      <c r="C15" s="184">
        <v>134</v>
      </c>
      <c r="D15" s="412">
        <f t="shared" si="0"/>
        <v>89.33333333333333</v>
      </c>
      <c r="E15" s="412">
        <f>C15/134*100</f>
        <v>100</v>
      </c>
      <c r="F15" s="186"/>
    </row>
    <row r="16" spans="1:6" ht="18" customHeight="1">
      <c r="A16" s="186" t="s">
        <v>21</v>
      </c>
      <c r="B16" s="424">
        <v>10</v>
      </c>
      <c r="C16" s="184">
        <v>29</v>
      </c>
      <c r="D16" s="412">
        <f t="shared" si="0"/>
        <v>290</v>
      </c>
      <c r="E16" s="412">
        <f>C16/9*100</f>
        <v>322.22222222222223</v>
      </c>
      <c r="F16" s="186"/>
    </row>
    <row r="17" spans="1:6" ht="18" customHeight="1">
      <c r="A17" s="186" t="s">
        <v>22</v>
      </c>
      <c r="B17" s="424">
        <v>80</v>
      </c>
      <c r="C17" s="184">
        <v>51</v>
      </c>
      <c r="D17" s="412">
        <f t="shared" si="0"/>
        <v>63.74999999999999</v>
      </c>
      <c r="E17" s="412">
        <f>C17/78*100</f>
        <v>65.38461538461539</v>
      </c>
      <c r="F17" s="186"/>
    </row>
    <row r="18" spans="1:6" ht="18" customHeight="1">
      <c r="A18" s="186" t="s">
        <v>23</v>
      </c>
      <c r="B18" s="424"/>
      <c r="C18" s="184">
        <v>110</v>
      </c>
      <c r="D18" s="412"/>
      <c r="E18" s="412" t="e">
        <f>C18/0*100</f>
        <v>#DIV/0!</v>
      </c>
      <c r="F18" s="186"/>
    </row>
    <row r="19" spans="1:6" ht="18" customHeight="1">
      <c r="A19" s="186" t="s">
        <v>24</v>
      </c>
      <c r="B19" s="424">
        <f>SUM(B20:B26)</f>
        <v>8410</v>
      </c>
      <c r="C19" s="424">
        <f>SUM(C20:C26)</f>
        <v>11013</v>
      </c>
      <c r="D19" s="412">
        <f t="shared" si="0"/>
        <v>130.9512485136742</v>
      </c>
      <c r="E19" s="412">
        <f>C19/10429*100</f>
        <v>105.599769872471</v>
      </c>
      <c r="F19" s="186"/>
    </row>
    <row r="20" spans="1:6" ht="18" customHeight="1">
      <c r="A20" s="186" t="s">
        <v>25</v>
      </c>
      <c r="B20" s="424">
        <v>2900</v>
      </c>
      <c r="C20" s="184">
        <v>3544</v>
      </c>
      <c r="D20" s="412">
        <f t="shared" si="0"/>
        <v>122.20689655172414</v>
      </c>
      <c r="E20" s="412">
        <f>C20/2910*100</f>
        <v>121.78694158075601</v>
      </c>
      <c r="F20" s="186"/>
    </row>
    <row r="21" spans="1:6" ht="18" customHeight="1">
      <c r="A21" s="186" t="s">
        <v>26</v>
      </c>
      <c r="B21" s="424">
        <v>820</v>
      </c>
      <c r="C21" s="184">
        <v>326</v>
      </c>
      <c r="D21" s="412">
        <f t="shared" si="0"/>
        <v>39.75609756097561</v>
      </c>
      <c r="E21" s="412">
        <f>C21/811*100</f>
        <v>40.197287299630084</v>
      </c>
      <c r="F21" s="186"/>
    </row>
    <row r="22" spans="1:6" ht="18" customHeight="1">
      <c r="A22" s="186" t="s">
        <v>27</v>
      </c>
      <c r="B22" s="424">
        <v>2000</v>
      </c>
      <c r="C22" s="184">
        <v>1036</v>
      </c>
      <c r="D22" s="412">
        <f t="shared" si="0"/>
        <v>51.800000000000004</v>
      </c>
      <c r="E22" s="412">
        <f>C22/1960*100</f>
        <v>52.85714285714286</v>
      </c>
      <c r="F22" s="186"/>
    </row>
    <row r="23" spans="1:6" ht="18" customHeight="1">
      <c r="A23" s="141" t="s">
        <v>28</v>
      </c>
      <c r="B23" s="424">
        <v>2500</v>
      </c>
      <c r="C23" s="184">
        <v>6098</v>
      </c>
      <c r="D23" s="412">
        <f t="shared" si="0"/>
        <v>243.92000000000002</v>
      </c>
      <c r="E23" s="412">
        <f>C23/3208*100</f>
        <v>190.08728179551122</v>
      </c>
      <c r="F23" s="186"/>
    </row>
    <row r="24" spans="1:6" ht="18" customHeight="1">
      <c r="A24" s="345" t="s">
        <v>29</v>
      </c>
      <c r="B24" s="424">
        <v>80</v>
      </c>
      <c r="C24" s="184"/>
      <c r="D24" s="412">
        <f t="shared" si="0"/>
        <v>0</v>
      </c>
      <c r="E24" s="412">
        <f>C24/19007*100</f>
        <v>0</v>
      </c>
      <c r="F24" s="186"/>
    </row>
    <row r="25" spans="1:6" ht="18" customHeight="1">
      <c r="A25" s="345" t="s">
        <v>30</v>
      </c>
      <c r="B25" s="424">
        <v>100</v>
      </c>
      <c r="C25" s="184">
        <v>6</v>
      </c>
      <c r="D25" s="412">
        <f t="shared" si="0"/>
        <v>6</v>
      </c>
      <c r="E25" s="412" t="e">
        <f>C25/0*100</f>
        <v>#DIV/0!</v>
      </c>
      <c r="F25" s="186"/>
    </row>
    <row r="26" spans="1:6" ht="18" customHeight="1">
      <c r="A26" s="186" t="s">
        <v>31</v>
      </c>
      <c r="B26" s="424">
        <v>10</v>
      </c>
      <c r="C26" s="184">
        <v>3</v>
      </c>
      <c r="D26" s="412">
        <f t="shared" si="0"/>
        <v>30</v>
      </c>
      <c r="E26" s="412">
        <f>C26/1540*100</f>
        <v>0.19480519480519481</v>
      </c>
      <c r="F26" s="186"/>
    </row>
    <row r="27" spans="2:4" ht="18" customHeight="1">
      <c r="B27" s="130"/>
      <c r="C27" s="130"/>
      <c r="D27" s="130"/>
    </row>
    <row r="28" spans="2:4" ht="30" customHeight="1">
      <c r="B28" s="130"/>
      <c r="C28" s="130"/>
      <c r="D28" s="130"/>
    </row>
  </sheetData>
  <sheetProtection/>
  <mergeCells count="1">
    <mergeCell ref="A1:F1"/>
  </mergeCells>
  <printOptions horizontalCentered="1"/>
  <pageMargins left="0.55" right="0.42" top="0.35" bottom="0.2" header="0.31" footer="0.2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5"/>
  <sheetViews>
    <sheetView zoomScaleSheetLayoutView="100" workbookViewId="0" topLeftCell="A1">
      <selection activeCell="C9" sqref="C9"/>
    </sheetView>
  </sheetViews>
  <sheetFormatPr defaultColWidth="9.00390625" defaultRowHeight="14.25"/>
  <cols>
    <col min="1" max="1" width="48.375" style="112" customWidth="1"/>
    <col min="2" max="2" width="29.50390625" style="112" customWidth="1"/>
    <col min="3" max="3" width="38.00390625" style="306" customWidth="1"/>
    <col min="4" max="4" width="21.25390625" style="307" customWidth="1"/>
    <col min="5" max="5" width="14.25390625" style="307" customWidth="1"/>
    <col min="6" max="6" width="9.625" style="308" customWidth="1"/>
    <col min="7" max="8" width="11.50390625" style="112" bestFit="1" customWidth="1"/>
    <col min="9" max="254" width="9.00390625" style="112" customWidth="1"/>
    <col min="255" max="16384" width="9.00390625" style="29" customWidth="1"/>
  </cols>
  <sheetData>
    <row r="1" spans="1:256" s="112" customFormat="1" ht="39.75" customHeight="1">
      <c r="A1" s="309" t="s">
        <v>186</v>
      </c>
      <c r="B1" s="309"/>
      <c r="C1" s="309"/>
      <c r="D1" s="310"/>
      <c r="E1" s="310"/>
      <c r="F1" s="308"/>
      <c r="IU1" s="29"/>
      <c r="IV1" s="29"/>
    </row>
    <row r="2" spans="1:5" s="303" customFormat="1" ht="18.75" customHeight="1">
      <c r="A2" s="311" t="s">
        <v>187</v>
      </c>
      <c r="C2" s="310" t="s">
        <v>2</v>
      </c>
      <c r="D2" s="310"/>
      <c r="E2" s="310"/>
    </row>
    <row r="3" spans="1:6" s="304" customFormat="1" ht="23.25" customHeight="1">
      <c r="A3" s="123" t="s">
        <v>128</v>
      </c>
      <c r="B3" s="123" t="s">
        <v>170</v>
      </c>
      <c r="C3" s="123" t="s">
        <v>129</v>
      </c>
      <c r="E3" s="312"/>
      <c r="F3" s="312"/>
    </row>
    <row r="4" spans="1:6" s="108" customFormat="1" ht="23.25" customHeight="1">
      <c r="A4" s="313" t="s">
        <v>188</v>
      </c>
      <c r="B4" s="314">
        <f>B5+B29+B63</f>
        <v>117725</v>
      </c>
      <c r="C4" s="315"/>
      <c r="D4" s="303"/>
      <c r="E4" s="303"/>
      <c r="F4" s="303"/>
    </row>
    <row r="5" spans="1:6" s="108" customFormat="1" ht="23.25" customHeight="1">
      <c r="A5" s="316" t="s">
        <v>189</v>
      </c>
      <c r="B5" s="314">
        <f>SUM(B6:B28)</f>
        <v>84890</v>
      </c>
      <c r="C5" s="314"/>
      <c r="D5" s="303"/>
      <c r="E5" s="317"/>
      <c r="F5" s="303"/>
    </row>
    <row r="6" spans="1:7" s="108" customFormat="1" ht="23.25" customHeight="1">
      <c r="A6" s="316" t="s">
        <v>190</v>
      </c>
      <c r="B6" s="314">
        <v>10319</v>
      </c>
      <c r="C6" s="124"/>
      <c r="D6" s="318"/>
      <c r="E6" s="319"/>
      <c r="F6" s="320"/>
      <c r="G6" s="320"/>
    </row>
    <row r="7" spans="1:3" s="108" customFormat="1" ht="23.25" customHeight="1">
      <c r="A7" s="316" t="s">
        <v>191</v>
      </c>
      <c r="B7" s="314">
        <v>117</v>
      </c>
      <c r="C7" s="124"/>
    </row>
    <row r="8" spans="1:7" s="108" customFormat="1" ht="23.25" customHeight="1">
      <c r="A8" s="316" t="s">
        <v>192</v>
      </c>
      <c r="B8" s="314">
        <v>3484</v>
      </c>
      <c r="C8" s="321"/>
      <c r="D8" s="318"/>
      <c r="E8" s="320"/>
      <c r="F8" s="320"/>
      <c r="G8" s="320"/>
    </row>
    <row r="9" spans="1:7" s="108" customFormat="1" ht="23.25" customHeight="1">
      <c r="A9" s="316" t="s">
        <v>193</v>
      </c>
      <c r="B9" s="314">
        <v>15641</v>
      </c>
      <c r="C9" s="322"/>
      <c r="D9" s="318"/>
      <c r="E9" s="320"/>
      <c r="F9" s="320"/>
      <c r="G9" s="320"/>
    </row>
    <row r="10" spans="1:7" s="108" customFormat="1" ht="23.25" customHeight="1">
      <c r="A10" s="316" t="s">
        <v>194</v>
      </c>
      <c r="B10" s="314">
        <v>969</v>
      </c>
      <c r="C10" s="322"/>
      <c r="D10" s="318"/>
      <c r="E10" s="320"/>
      <c r="F10" s="320"/>
      <c r="G10" s="320"/>
    </row>
    <row r="11" spans="1:7" s="108" customFormat="1" ht="23.25" customHeight="1">
      <c r="A11" s="316" t="s">
        <v>195</v>
      </c>
      <c r="B11" s="314">
        <v>1023</v>
      </c>
      <c r="C11" s="322"/>
      <c r="D11" s="318"/>
      <c r="E11" s="320"/>
      <c r="F11" s="320"/>
      <c r="G11" s="320"/>
    </row>
    <row r="12" spans="1:7" s="108" customFormat="1" ht="23.25" customHeight="1">
      <c r="A12" s="316" t="s">
        <v>196</v>
      </c>
      <c r="B12" s="314">
        <v>10756</v>
      </c>
      <c r="C12" s="322"/>
      <c r="D12" s="318"/>
      <c r="E12" s="320"/>
      <c r="F12" s="320"/>
      <c r="G12" s="320"/>
    </row>
    <row r="13" spans="1:256" s="305" customFormat="1" ht="23.25" customHeight="1">
      <c r="A13" s="323" t="s">
        <v>197</v>
      </c>
      <c r="B13" s="324">
        <v>8586</v>
      </c>
      <c r="C13" s="325"/>
      <c r="D13" s="326"/>
      <c r="E13" s="327"/>
      <c r="F13" s="327"/>
      <c r="G13" s="327"/>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c r="IL13" s="328"/>
      <c r="IM13" s="328"/>
      <c r="IN13" s="328"/>
      <c r="IO13" s="328"/>
      <c r="IP13" s="328"/>
      <c r="IQ13" s="328"/>
      <c r="IR13" s="328"/>
      <c r="IS13" s="328"/>
      <c r="IT13" s="328"/>
      <c r="IU13" s="340"/>
      <c r="IV13" s="340"/>
    </row>
    <row r="14" spans="1:7" s="108" customFormat="1" ht="23.25" customHeight="1">
      <c r="A14" s="316" t="s">
        <v>198</v>
      </c>
      <c r="B14" s="314">
        <v>402</v>
      </c>
      <c r="C14" s="322"/>
      <c r="D14" s="318"/>
      <c r="E14" s="320"/>
      <c r="F14" s="320"/>
      <c r="G14" s="320"/>
    </row>
    <row r="15" spans="1:7" s="108" customFormat="1" ht="23.25" customHeight="1">
      <c r="A15" s="316" t="s">
        <v>199</v>
      </c>
      <c r="B15" s="314">
        <v>1823</v>
      </c>
      <c r="C15" s="322"/>
      <c r="D15" s="318"/>
      <c r="E15" s="320"/>
      <c r="F15" s="320"/>
      <c r="G15" s="320"/>
    </row>
    <row r="16" spans="1:7" s="108" customFormat="1" ht="23.25" customHeight="1">
      <c r="A16" s="316" t="s">
        <v>200</v>
      </c>
      <c r="B16" s="314">
        <v>10496</v>
      </c>
      <c r="C16" s="322"/>
      <c r="D16" s="318"/>
      <c r="E16" s="320"/>
      <c r="F16" s="320"/>
      <c r="G16" s="320"/>
    </row>
    <row r="17" spans="1:7" s="108" customFormat="1" ht="23.25" customHeight="1">
      <c r="A17" s="316" t="s">
        <v>201</v>
      </c>
      <c r="B17" s="314">
        <v>532</v>
      </c>
      <c r="C17" s="322"/>
      <c r="D17" s="318"/>
      <c r="E17" s="320"/>
      <c r="F17" s="320"/>
      <c r="G17" s="320"/>
    </row>
    <row r="18" spans="1:7" s="108" customFormat="1" ht="23.25" customHeight="1">
      <c r="A18" s="316" t="s">
        <v>202</v>
      </c>
      <c r="B18" s="314">
        <v>106</v>
      </c>
      <c r="C18" s="322"/>
      <c r="D18" s="318"/>
      <c r="E18" s="320"/>
      <c r="F18" s="320"/>
      <c r="G18" s="320"/>
    </row>
    <row r="19" spans="1:7" s="108" customFormat="1" ht="23.25" customHeight="1">
      <c r="A19" s="316" t="s">
        <v>203</v>
      </c>
      <c r="B19" s="314">
        <v>224</v>
      </c>
      <c r="C19" s="322"/>
      <c r="D19" s="318"/>
      <c r="E19" s="320"/>
      <c r="F19" s="320"/>
      <c r="G19" s="320"/>
    </row>
    <row r="20" spans="1:7" s="108" customFormat="1" ht="23.25" customHeight="1">
      <c r="A20" s="316" t="s">
        <v>204</v>
      </c>
      <c r="B20" s="314"/>
      <c r="C20" s="318"/>
      <c r="D20" s="318"/>
      <c r="E20" s="320"/>
      <c r="F20" s="320"/>
      <c r="G20" s="320"/>
    </row>
    <row r="21" spans="1:7" s="108" customFormat="1" ht="23.25" customHeight="1">
      <c r="A21" s="316" t="s">
        <v>205</v>
      </c>
      <c r="B21" s="314">
        <v>651</v>
      </c>
      <c r="C21" s="322"/>
      <c r="D21" s="318"/>
      <c r="E21" s="320"/>
      <c r="F21" s="320"/>
      <c r="G21" s="320"/>
    </row>
    <row r="22" spans="1:7" s="108" customFormat="1" ht="23.25" customHeight="1">
      <c r="A22" s="316" t="s">
        <v>206</v>
      </c>
      <c r="B22" s="314">
        <v>2376</v>
      </c>
      <c r="C22" s="318"/>
      <c r="D22" s="318"/>
      <c r="E22" s="320"/>
      <c r="F22" s="320"/>
      <c r="G22" s="320"/>
    </row>
    <row r="23" spans="1:7" s="108" customFormat="1" ht="23.25" customHeight="1">
      <c r="A23" s="316" t="s">
        <v>207</v>
      </c>
      <c r="B23" s="314">
        <v>166</v>
      </c>
      <c r="C23" s="322"/>
      <c r="D23" s="318"/>
      <c r="E23" s="320"/>
      <c r="F23" s="320"/>
      <c r="G23" s="320"/>
    </row>
    <row r="24" spans="1:7" s="108" customFormat="1" ht="23.25" customHeight="1">
      <c r="A24" s="316" t="s">
        <v>208</v>
      </c>
      <c r="B24" s="314">
        <v>680</v>
      </c>
      <c r="C24" s="329"/>
      <c r="D24" s="318"/>
      <c r="E24" s="320"/>
      <c r="F24" s="320"/>
      <c r="G24" s="320"/>
    </row>
    <row r="25" spans="1:7" s="108" customFormat="1" ht="23.25" customHeight="1">
      <c r="A25" s="316" t="s">
        <v>209</v>
      </c>
      <c r="B25" s="314">
        <v>867</v>
      </c>
      <c r="C25" s="330"/>
      <c r="D25" s="318"/>
      <c r="E25" s="320"/>
      <c r="F25" s="320"/>
      <c r="G25" s="320"/>
    </row>
    <row r="26" spans="1:7" s="108" customFormat="1" ht="23.25" customHeight="1">
      <c r="A26" s="316" t="s">
        <v>210</v>
      </c>
      <c r="B26" s="314">
        <f>2101-867</f>
        <v>1234</v>
      </c>
      <c r="C26" s="322"/>
      <c r="D26" s="318"/>
      <c r="E26" s="320"/>
      <c r="F26" s="320"/>
      <c r="G26" s="320"/>
    </row>
    <row r="27" spans="1:7" s="108" customFormat="1" ht="23.25" customHeight="1">
      <c r="A27" s="316" t="s">
        <v>211</v>
      </c>
      <c r="B27" s="314">
        <v>14438</v>
      </c>
      <c r="C27" s="322"/>
      <c r="D27" s="318"/>
      <c r="E27" s="320"/>
      <c r="F27" s="320"/>
      <c r="G27" s="320"/>
    </row>
    <row r="28" spans="1:3" s="108" customFormat="1" ht="23.25" customHeight="1">
      <c r="A28" s="316" t="s">
        <v>212</v>
      </c>
      <c r="B28" s="314"/>
      <c r="C28" s="124"/>
    </row>
    <row r="29" spans="1:3" s="108" customFormat="1" ht="23.25" customHeight="1">
      <c r="A29" s="316" t="s">
        <v>213</v>
      </c>
      <c r="B29" s="331">
        <f>B30+B36+B59+B61</f>
        <v>32835</v>
      </c>
      <c r="C29" s="316"/>
    </row>
    <row r="30" spans="1:6" s="108" customFormat="1" ht="23.25" customHeight="1">
      <c r="A30" s="316" t="s">
        <v>214</v>
      </c>
      <c r="B30" s="314"/>
      <c r="C30" s="332"/>
      <c r="D30" s="303"/>
      <c r="E30" s="317"/>
      <c r="F30" s="303"/>
    </row>
    <row r="31" spans="1:6" s="108" customFormat="1" ht="23.25" customHeight="1">
      <c r="A31" s="316" t="s">
        <v>215</v>
      </c>
      <c r="B31" s="314"/>
      <c r="C31" s="316"/>
      <c r="D31" s="303"/>
      <c r="E31" s="317"/>
      <c r="F31" s="303"/>
    </row>
    <row r="32" spans="1:6" s="108" customFormat="1" ht="23.25" customHeight="1">
      <c r="A32" s="316" t="s">
        <v>216</v>
      </c>
      <c r="B32" s="314"/>
      <c r="C32" s="316"/>
      <c r="D32" s="303"/>
      <c r="E32" s="317"/>
      <c r="F32" s="303"/>
    </row>
    <row r="33" spans="1:6" s="108" customFormat="1" ht="23.25" customHeight="1">
      <c r="A33" s="316" t="s">
        <v>217</v>
      </c>
      <c r="B33" s="314"/>
      <c r="C33" s="315"/>
      <c r="D33" s="303"/>
      <c r="E33" s="310"/>
      <c r="F33" s="303"/>
    </row>
    <row r="34" spans="1:6" s="108" customFormat="1" ht="23.25" customHeight="1">
      <c r="A34" s="316" t="s">
        <v>137</v>
      </c>
      <c r="B34" s="314"/>
      <c r="C34" s="316"/>
      <c r="D34" s="303"/>
      <c r="E34" s="310"/>
      <c r="F34" s="303"/>
    </row>
    <row r="35" spans="1:6" s="108" customFormat="1" ht="23.25" customHeight="1">
      <c r="A35" s="316" t="s">
        <v>218</v>
      </c>
      <c r="B35" s="314"/>
      <c r="C35" s="316"/>
      <c r="D35" s="303"/>
      <c r="E35" s="310"/>
      <c r="F35" s="303"/>
    </row>
    <row r="36" spans="1:6" s="108" customFormat="1" ht="23.25" customHeight="1">
      <c r="A36" s="316" t="s">
        <v>219</v>
      </c>
      <c r="B36" s="200">
        <v>22550</v>
      </c>
      <c r="C36" s="333"/>
      <c r="D36" s="303"/>
      <c r="E36" s="310"/>
      <c r="F36" s="303"/>
    </row>
    <row r="37" spans="1:6" s="108" customFormat="1" ht="23.25" customHeight="1">
      <c r="A37" s="316" t="s">
        <v>220</v>
      </c>
      <c r="B37" s="314"/>
      <c r="C37" s="334"/>
      <c r="D37" s="303"/>
      <c r="E37" s="303"/>
      <c r="F37" s="303"/>
    </row>
    <row r="38" spans="1:6" s="108" customFormat="1" ht="23.25" customHeight="1">
      <c r="A38" s="316" t="s">
        <v>221</v>
      </c>
      <c r="B38" s="314"/>
      <c r="C38" s="334"/>
      <c r="D38" s="303"/>
      <c r="E38" s="303"/>
      <c r="F38" s="303"/>
    </row>
    <row r="39" spans="1:6" s="108" customFormat="1" ht="23.25" customHeight="1">
      <c r="A39" s="316" t="s">
        <v>222</v>
      </c>
      <c r="B39" s="314">
        <v>116</v>
      </c>
      <c r="C39" s="124"/>
      <c r="D39" s="303"/>
      <c r="E39" s="303"/>
      <c r="F39" s="303"/>
    </row>
    <row r="40" spans="1:6" s="108" customFormat="1" ht="23.25" customHeight="1">
      <c r="A40" s="316" t="s">
        <v>223</v>
      </c>
      <c r="B40" s="314"/>
      <c r="C40" s="124"/>
      <c r="D40" s="303"/>
      <c r="E40" s="303"/>
      <c r="F40" s="303"/>
    </row>
    <row r="41" spans="1:6" s="108" customFormat="1" ht="23.25" customHeight="1">
      <c r="A41" s="316" t="s">
        <v>224</v>
      </c>
      <c r="B41" s="314"/>
      <c r="C41" s="315"/>
      <c r="D41" s="303"/>
      <c r="E41" s="303"/>
      <c r="F41" s="303"/>
    </row>
    <row r="42" spans="1:256" s="112" customFormat="1" ht="23.25" customHeight="1">
      <c r="A42" s="316" t="s">
        <v>225</v>
      </c>
      <c r="B42" s="314"/>
      <c r="C42" s="315"/>
      <c r="D42" s="310"/>
      <c r="E42" s="310"/>
      <c r="F42" s="303"/>
      <c r="IU42" s="29"/>
      <c r="IV42" s="29"/>
    </row>
    <row r="43" spans="1:256" s="112" customFormat="1" ht="23.25" customHeight="1">
      <c r="A43" s="316" t="s">
        <v>226</v>
      </c>
      <c r="B43" s="314"/>
      <c r="C43" s="125"/>
      <c r="D43" s="307"/>
      <c r="E43" s="307"/>
      <c r="F43" s="308"/>
      <c r="IU43" s="29"/>
      <c r="IV43" s="29"/>
    </row>
    <row r="44" spans="1:256" s="112" customFormat="1" ht="23.25" customHeight="1">
      <c r="A44" s="316" t="s">
        <v>227</v>
      </c>
      <c r="B44" s="314">
        <v>12</v>
      </c>
      <c r="C44" s="335"/>
      <c r="D44" s="307"/>
      <c r="E44" s="307"/>
      <c r="F44" s="308"/>
      <c r="IU44" s="29"/>
      <c r="IV44" s="29"/>
    </row>
    <row r="45" spans="1:256" s="112" customFormat="1" ht="23.25" customHeight="1">
      <c r="A45" s="316" t="s">
        <v>228</v>
      </c>
      <c r="B45" s="314">
        <v>2863</v>
      </c>
      <c r="C45" s="336"/>
      <c r="D45" s="307"/>
      <c r="E45" s="307"/>
      <c r="F45" s="308"/>
      <c r="IU45" s="29"/>
      <c r="IV45" s="29"/>
    </row>
    <row r="46" spans="1:256" s="112" customFormat="1" ht="23.25" customHeight="1">
      <c r="A46" s="316" t="s">
        <v>229</v>
      </c>
      <c r="B46" s="314"/>
      <c r="C46" s="125"/>
      <c r="D46" s="307"/>
      <c r="E46" s="307"/>
      <c r="F46" s="308"/>
      <c r="IU46" s="29"/>
      <c r="IV46" s="29"/>
    </row>
    <row r="47" spans="1:256" s="112" customFormat="1" ht="24.75" customHeight="1">
      <c r="A47" s="316" t="s">
        <v>230</v>
      </c>
      <c r="B47" s="314">
        <v>381</v>
      </c>
      <c r="C47" s="334"/>
      <c r="D47" s="307"/>
      <c r="E47" s="307"/>
      <c r="F47" s="308"/>
      <c r="IU47" s="29"/>
      <c r="IV47" s="29"/>
    </row>
    <row r="48" spans="1:256" s="112" customFormat="1" ht="24" customHeight="1">
      <c r="A48" s="316" t="s">
        <v>231</v>
      </c>
      <c r="B48" s="314"/>
      <c r="C48" s="125"/>
      <c r="D48" s="307"/>
      <c r="E48" s="307"/>
      <c r="F48" s="308"/>
      <c r="IU48" s="29"/>
      <c r="IV48" s="29"/>
    </row>
    <row r="49" spans="1:256" s="112" customFormat="1" ht="24" customHeight="1">
      <c r="A49" s="316" t="s">
        <v>232</v>
      </c>
      <c r="B49" s="314"/>
      <c r="C49" s="125"/>
      <c r="D49" s="307"/>
      <c r="E49" s="307"/>
      <c r="F49" s="308"/>
      <c r="IU49" s="29"/>
      <c r="IV49" s="29"/>
    </row>
    <row r="50" spans="1:256" s="112" customFormat="1" ht="24" customHeight="1">
      <c r="A50" s="316" t="s">
        <v>233</v>
      </c>
      <c r="B50" s="314">
        <v>13</v>
      </c>
      <c r="C50" s="125"/>
      <c r="D50" s="307"/>
      <c r="E50" s="307"/>
      <c r="F50" s="308"/>
      <c r="IU50" s="29"/>
      <c r="IV50" s="29"/>
    </row>
    <row r="51" spans="1:256" s="112" customFormat="1" ht="24" customHeight="1">
      <c r="A51" s="316" t="s">
        <v>234</v>
      </c>
      <c r="B51" s="314">
        <v>700</v>
      </c>
      <c r="C51" s="125"/>
      <c r="D51" s="307"/>
      <c r="E51" s="307"/>
      <c r="F51" s="308"/>
      <c r="IU51" s="29"/>
      <c r="IV51" s="29"/>
    </row>
    <row r="52" spans="1:256" s="112" customFormat="1" ht="23.25" customHeight="1">
      <c r="A52" s="316" t="s">
        <v>235</v>
      </c>
      <c r="B52" s="314">
        <v>6326</v>
      </c>
      <c r="C52" s="335" t="s">
        <v>236</v>
      </c>
      <c r="D52" s="307"/>
      <c r="E52" s="307"/>
      <c r="F52" s="308"/>
      <c r="IU52" s="29"/>
      <c r="IV52" s="29"/>
    </row>
    <row r="53" spans="1:256" s="112" customFormat="1" ht="23.25" customHeight="1">
      <c r="A53" s="316" t="s">
        <v>237</v>
      </c>
      <c r="B53" s="337">
        <v>1465</v>
      </c>
      <c r="C53" s="335"/>
      <c r="D53" s="307"/>
      <c r="E53" s="307"/>
      <c r="F53" s="308"/>
      <c r="IU53" s="29"/>
      <c r="IV53" s="29"/>
    </row>
    <row r="54" spans="1:256" s="112" customFormat="1" ht="23.25" customHeight="1">
      <c r="A54" s="316" t="s">
        <v>238</v>
      </c>
      <c r="B54" s="337">
        <v>1863</v>
      </c>
      <c r="C54" s="335"/>
      <c r="D54" s="307"/>
      <c r="E54" s="307"/>
      <c r="F54" s="308"/>
      <c r="IU54" s="29"/>
      <c r="IV54" s="29"/>
    </row>
    <row r="55" spans="1:256" s="112" customFormat="1" ht="23.25" customHeight="1">
      <c r="A55" s="316" t="s">
        <v>239</v>
      </c>
      <c r="B55" s="337">
        <v>5626</v>
      </c>
      <c r="C55" s="335"/>
      <c r="D55" s="307"/>
      <c r="E55" s="307"/>
      <c r="F55" s="308"/>
      <c r="IU55" s="29"/>
      <c r="IV55" s="29"/>
    </row>
    <row r="56" spans="1:256" s="112" customFormat="1" ht="23.25" customHeight="1">
      <c r="A56" s="316" t="s">
        <v>240</v>
      </c>
      <c r="B56" s="337">
        <v>1977</v>
      </c>
      <c r="C56" s="335"/>
      <c r="D56" s="307"/>
      <c r="E56" s="307"/>
      <c r="F56" s="308"/>
      <c r="IU56" s="29"/>
      <c r="IV56" s="29"/>
    </row>
    <row r="57" spans="1:256" s="112" customFormat="1" ht="23.25" customHeight="1">
      <c r="A57" s="316" t="s">
        <v>241</v>
      </c>
      <c r="B57" s="337">
        <v>1166</v>
      </c>
      <c r="C57" s="335"/>
      <c r="D57" s="307"/>
      <c r="E57" s="307"/>
      <c r="F57" s="308"/>
      <c r="IU57" s="29"/>
      <c r="IV57" s="29"/>
    </row>
    <row r="58" spans="1:256" s="112" customFormat="1" ht="24" customHeight="1">
      <c r="A58" s="316" t="s">
        <v>242</v>
      </c>
      <c r="B58" s="314">
        <v>42</v>
      </c>
      <c r="C58" s="125"/>
      <c r="D58" s="307"/>
      <c r="E58" s="307"/>
      <c r="F58" s="308"/>
      <c r="IU58" s="29"/>
      <c r="IV58" s="29"/>
    </row>
    <row r="59" spans="1:3" ht="24" customHeight="1">
      <c r="A59" s="316" t="s">
        <v>243</v>
      </c>
      <c r="B59" s="314">
        <v>8454</v>
      </c>
      <c r="C59" s="125"/>
    </row>
    <row r="60" spans="1:256" s="112" customFormat="1" ht="24" customHeight="1">
      <c r="A60" s="316" t="s">
        <v>244</v>
      </c>
      <c r="B60" s="314">
        <v>8454</v>
      </c>
      <c r="C60" s="125"/>
      <c r="D60" s="307"/>
      <c r="E60" s="307"/>
      <c r="F60" s="308"/>
      <c r="IU60" s="29"/>
      <c r="IV60" s="29"/>
    </row>
    <row r="61" spans="1:256" s="112" customFormat="1" ht="24" customHeight="1">
      <c r="A61" s="316" t="s">
        <v>245</v>
      </c>
      <c r="B61" s="314">
        <v>1831</v>
      </c>
      <c r="C61" s="125"/>
      <c r="D61" s="307"/>
      <c r="E61" s="307"/>
      <c r="F61" s="308"/>
      <c r="IU61" s="29"/>
      <c r="IV61" s="29"/>
    </row>
    <row r="62" spans="1:256" s="112" customFormat="1" ht="73.5" customHeight="1">
      <c r="A62" s="316" t="s">
        <v>246</v>
      </c>
      <c r="B62" s="314">
        <v>1831</v>
      </c>
      <c r="C62" s="338" t="s">
        <v>247</v>
      </c>
      <c r="D62" s="307"/>
      <c r="E62" s="307"/>
      <c r="F62" s="308"/>
      <c r="IU62" s="29"/>
      <c r="IV62" s="29"/>
    </row>
    <row r="63" spans="1:256" s="112" customFormat="1" ht="24" customHeight="1">
      <c r="A63" s="316" t="s">
        <v>248</v>
      </c>
      <c r="B63" s="314"/>
      <c r="C63" s="125"/>
      <c r="D63" s="307"/>
      <c r="E63" s="307"/>
      <c r="F63" s="308"/>
      <c r="IU63" s="29"/>
      <c r="IV63" s="29"/>
    </row>
    <row r="64" spans="1:256" s="112" customFormat="1" ht="24" customHeight="1">
      <c r="A64" s="316" t="s">
        <v>249</v>
      </c>
      <c r="B64" s="314"/>
      <c r="C64" s="339"/>
      <c r="D64" s="307"/>
      <c r="E64" s="307"/>
      <c r="F64" s="308"/>
      <c r="IU64" s="29"/>
      <c r="IV64" s="29"/>
    </row>
    <row r="65" spans="3:256" s="112" customFormat="1" ht="24" customHeight="1">
      <c r="C65" s="306"/>
      <c r="D65" s="307"/>
      <c r="E65" s="307"/>
      <c r="F65" s="308"/>
      <c r="IU65" s="29"/>
      <c r="IV65" s="29"/>
    </row>
  </sheetData>
  <sheetProtection/>
  <mergeCells count="1">
    <mergeCell ref="A1:C1"/>
  </mergeCells>
  <printOptions horizontalCentered="1"/>
  <pageMargins left="0.75" right="0.75" top="0.41" bottom="0.53" header="0.23" footer="0.28"/>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T479"/>
  <sheetViews>
    <sheetView workbookViewId="0" topLeftCell="A1">
      <pane xSplit="1" ySplit="4" topLeftCell="B5" activePane="bottomRight" state="frozen"/>
      <selection pane="bottomRight" activeCell="E5" sqref="E5"/>
    </sheetView>
  </sheetViews>
  <sheetFormatPr defaultColWidth="9.00390625" defaultRowHeight="14.25"/>
  <cols>
    <col min="1" max="1" width="30.625" style="210" customWidth="1"/>
    <col min="2" max="2" width="9.25390625" style="211" customWidth="1"/>
    <col min="3" max="3" width="10.125" style="212" customWidth="1"/>
    <col min="4" max="4" width="13.50390625" style="212" customWidth="1"/>
    <col min="5" max="5" width="8.00390625" style="212" customWidth="1"/>
    <col min="6" max="6" width="10.625" style="212" customWidth="1"/>
    <col min="7" max="7" width="12.375" style="212" customWidth="1"/>
    <col min="8" max="8" width="9.875" style="213" customWidth="1"/>
    <col min="9" max="9" width="25.125" style="214" customWidth="1"/>
    <col min="10" max="10" width="11.50390625" style="202" customWidth="1"/>
    <col min="11" max="11" width="8.375" style="202" customWidth="1"/>
    <col min="12" max="12" width="7.375" style="202" customWidth="1"/>
    <col min="13" max="13" width="9.25390625" style="202" customWidth="1"/>
    <col min="14" max="14" width="8.375" style="202" customWidth="1"/>
    <col min="15" max="15" width="12.75390625" style="213" customWidth="1"/>
    <col min="16" max="16" width="29.25390625" style="215" customWidth="1"/>
    <col min="17" max="17" width="16.625" style="216" customWidth="1"/>
    <col min="18" max="18" width="14.125" style="216" customWidth="1"/>
    <col min="19" max="19" width="12.875" style="216" customWidth="1"/>
    <col min="20" max="20" width="9.00390625" style="216" customWidth="1"/>
    <col min="21" max="21" width="10.375" style="216" bestFit="1" customWidth="1"/>
    <col min="22" max="22" width="9.375" style="216" bestFit="1" customWidth="1"/>
    <col min="23" max="23" width="9.00390625" style="216" customWidth="1"/>
    <col min="24" max="26" width="9.00390625" style="210" customWidth="1"/>
    <col min="27" max="27" width="12.875" style="210" bestFit="1" customWidth="1"/>
    <col min="28" max="28" width="9.00390625" style="210" customWidth="1"/>
    <col min="29" max="220" width="6.875" style="210" bestFit="1" customWidth="1"/>
    <col min="221" max="223" width="9.00390625" style="210" customWidth="1"/>
    <col min="224" max="16384" width="9.00390625" style="29" customWidth="1"/>
  </cols>
  <sheetData>
    <row r="1" spans="1:252" s="201" customFormat="1" ht="27" customHeight="1">
      <c r="A1" s="217" t="s">
        <v>250</v>
      </c>
      <c r="B1" s="120"/>
      <c r="C1" s="218"/>
      <c r="D1" s="218"/>
      <c r="E1" s="219"/>
      <c r="F1" s="220"/>
      <c r="G1" s="218"/>
      <c r="H1" s="221"/>
      <c r="I1" s="217"/>
      <c r="J1" s="202"/>
      <c r="K1" s="202"/>
      <c r="L1" s="202"/>
      <c r="M1" s="202"/>
      <c r="N1" s="202"/>
      <c r="O1" s="236"/>
      <c r="P1" s="237"/>
      <c r="Q1" s="237"/>
      <c r="R1" s="237"/>
      <c r="S1" s="237"/>
      <c r="T1" s="237"/>
      <c r="U1" s="237"/>
      <c r="V1" s="237"/>
      <c r="W1" s="237"/>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B1" s="210"/>
      <c r="HC1" s="210"/>
      <c r="HD1" s="210"/>
      <c r="HE1" s="210"/>
      <c r="HF1" s="210"/>
      <c r="HG1" s="210"/>
      <c r="HH1" s="210"/>
      <c r="HI1" s="210"/>
      <c r="HJ1" s="210"/>
      <c r="HK1" s="210"/>
      <c r="HL1" s="210"/>
      <c r="HM1" s="210"/>
      <c r="HN1" s="210"/>
      <c r="HO1" s="210"/>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row>
    <row r="2" spans="1:252" s="202" customFormat="1" ht="19.5" customHeight="1">
      <c r="A2" s="222" t="s">
        <v>251</v>
      </c>
      <c r="B2" s="223"/>
      <c r="C2" s="223"/>
      <c r="D2" s="223"/>
      <c r="E2" s="223"/>
      <c r="F2" s="223"/>
      <c r="G2" s="223"/>
      <c r="H2" s="224"/>
      <c r="I2" s="238" t="s">
        <v>2</v>
      </c>
      <c r="K2" s="239"/>
      <c r="M2" s="239"/>
      <c r="O2" s="213"/>
      <c r="P2" s="215"/>
      <c r="Q2" s="215"/>
      <c r="R2" s="215"/>
      <c r="S2" s="215"/>
      <c r="T2" s="215"/>
      <c r="U2" s="215"/>
      <c r="V2" s="215"/>
      <c r="W2" s="215"/>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s="202" customFormat="1" ht="25.5" customHeight="1">
      <c r="A3" s="225" t="s">
        <v>252</v>
      </c>
      <c r="B3" s="160" t="s">
        <v>253</v>
      </c>
      <c r="C3" s="226" t="s">
        <v>254</v>
      </c>
      <c r="D3" s="227"/>
      <c r="E3" s="160" t="s">
        <v>255</v>
      </c>
      <c r="F3" s="226" t="s">
        <v>254</v>
      </c>
      <c r="G3" s="227"/>
      <c r="H3" s="228" t="s">
        <v>256</v>
      </c>
      <c r="I3" s="240" t="s">
        <v>257</v>
      </c>
      <c r="O3" s="213"/>
      <c r="P3" s="215"/>
      <c r="Q3" s="215"/>
      <c r="R3" s="215"/>
      <c r="S3" s="215"/>
      <c r="T3" s="215"/>
      <c r="U3" s="215"/>
      <c r="V3" s="215"/>
      <c r="W3" s="215"/>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0"/>
      <c r="HE3" s="210"/>
      <c r="HF3" s="210"/>
      <c r="HG3" s="210"/>
      <c r="HH3" s="210"/>
      <c r="HI3" s="210"/>
      <c r="HJ3" s="210"/>
      <c r="HK3" s="210"/>
      <c r="HL3" s="210"/>
      <c r="HM3" s="210"/>
      <c r="HN3" s="210"/>
      <c r="HO3" s="210"/>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3" s="203" customFormat="1" ht="54.75" customHeight="1">
      <c r="A4" s="225"/>
      <c r="B4" s="160"/>
      <c r="C4" s="226"/>
      <c r="D4" s="226" t="s">
        <v>258</v>
      </c>
      <c r="E4" s="160"/>
      <c r="F4" s="226"/>
      <c r="G4" s="226" t="s">
        <v>258</v>
      </c>
      <c r="H4" s="228"/>
      <c r="I4" s="240"/>
      <c r="O4" s="241"/>
      <c r="Q4" s="256"/>
      <c r="R4" s="257"/>
      <c r="S4" s="258"/>
      <c r="U4" s="256"/>
      <c r="V4" s="257"/>
      <c r="W4" s="258"/>
    </row>
    <row r="5" spans="1:252" s="204" customFormat="1" ht="24" customHeight="1">
      <c r="A5" s="229" t="s">
        <v>259</v>
      </c>
      <c r="B5" s="230">
        <f aca="true" t="shared" si="0" ref="B5:G5">B6+B91+B94+B114+B144+B153+B173+B229+B272+B291+B306+B362+B378+B393+B399+B404+B415+B424+B429+B436+B440+B443+B437</f>
        <v>73836</v>
      </c>
      <c r="C5" s="230">
        <f t="shared" si="0"/>
        <v>71380</v>
      </c>
      <c r="D5" s="230">
        <f t="shared" si="0"/>
        <v>14514</v>
      </c>
      <c r="E5" s="230">
        <f t="shared" si="0"/>
        <v>84890</v>
      </c>
      <c r="F5" s="230">
        <f t="shared" si="0"/>
        <v>78715</v>
      </c>
      <c r="G5" s="230">
        <f t="shared" si="0"/>
        <v>8454</v>
      </c>
      <c r="H5" s="231">
        <f aca="true" t="shared" si="1" ref="H5:H68">E5/B5</f>
        <v>1.1497101684814997</v>
      </c>
      <c r="I5" s="242"/>
      <c r="J5" s="243"/>
      <c r="K5" s="204">
        <f>E5-G5-J5</f>
        <v>76436</v>
      </c>
      <c r="L5" s="204">
        <f>B5-D5</f>
        <v>59322</v>
      </c>
      <c r="M5" s="204">
        <f>K5/L5-1</f>
        <v>0.28849330771046144</v>
      </c>
      <c r="O5" s="244"/>
      <c r="Q5" s="259"/>
      <c r="R5" s="259"/>
      <c r="S5" s="259"/>
      <c r="X5" s="260"/>
      <c r="Y5" s="260"/>
      <c r="Z5" s="260"/>
      <c r="AA5" s="204">
        <f aca="true" t="shared" si="2" ref="AA5:AA28">F5-E5</f>
        <v>-6175</v>
      </c>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c r="DM5" s="260"/>
      <c r="DN5" s="260"/>
      <c r="DO5" s="260"/>
      <c r="DP5" s="260"/>
      <c r="DQ5" s="260"/>
      <c r="DR5" s="260"/>
      <c r="DS5" s="260"/>
      <c r="DT5" s="260"/>
      <c r="DU5" s="260"/>
      <c r="DV5" s="260"/>
      <c r="DW5" s="260"/>
      <c r="DX5" s="260"/>
      <c r="DY5" s="260"/>
      <c r="DZ5" s="260"/>
      <c r="EA5" s="260"/>
      <c r="EB5" s="260"/>
      <c r="EC5" s="260"/>
      <c r="ED5" s="260"/>
      <c r="EE5" s="260"/>
      <c r="EF5" s="260"/>
      <c r="EG5" s="260"/>
      <c r="EH5" s="260"/>
      <c r="EI5" s="260"/>
      <c r="EJ5" s="260"/>
      <c r="EK5" s="260"/>
      <c r="EL5" s="260"/>
      <c r="EM5" s="260"/>
      <c r="EN5" s="260"/>
      <c r="EO5" s="260"/>
      <c r="EP5" s="260"/>
      <c r="EQ5" s="260"/>
      <c r="ER5" s="260"/>
      <c r="ES5" s="260"/>
      <c r="ET5" s="260"/>
      <c r="EU5" s="260"/>
      <c r="EV5" s="260"/>
      <c r="EW5" s="260"/>
      <c r="EX5" s="260"/>
      <c r="EY5" s="260"/>
      <c r="EZ5" s="260"/>
      <c r="FA5" s="260"/>
      <c r="FB5" s="260"/>
      <c r="FC5" s="260"/>
      <c r="FD5" s="260"/>
      <c r="FE5" s="260"/>
      <c r="FF5" s="260"/>
      <c r="FG5" s="260"/>
      <c r="FH5" s="260"/>
      <c r="FI5" s="260"/>
      <c r="FJ5" s="260"/>
      <c r="FK5" s="260"/>
      <c r="FL5" s="260"/>
      <c r="FM5" s="260"/>
      <c r="FN5" s="260"/>
      <c r="FO5" s="260"/>
      <c r="FP5" s="260"/>
      <c r="FQ5" s="260"/>
      <c r="FR5" s="260"/>
      <c r="FS5" s="260"/>
      <c r="FT5" s="260"/>
      <c r="FU5" s="260"/>
      <c r="FV5" s="260"/>
      <c r="FW5" s="260"/>
      <c r="FX5" s="260"/>
      <c r="FY5" s="260"/>
      <c r="FZ5" s="260"/>
      <c r="GA5" s="260"/>
      <c r="GB5" s="260"/>
      <c r="GC5" s="260"/>
      <c r="GD5" s="260"/>
      <c r="GE5" s="260"/>
      <c r="GF5" s="260"/>
      <c r="GG5" s="260"/>
      <c r="GH5" s="260"/>
      <c r="GI5" s="260"/>
      <c r="GJ5" s="260"/>
      <c r="GK5" s="260"/>
      <c r="GL5" s="260"/>
      <c r="GM5" s="260"/>
      <c r="GN5" s="260"/>
      <c r="GO5" s="260"/>
      <c r="GP5" s="260"/>
      <c r="GQ5" s="260"/>
      <c r="GR5" s="260"/>
      <c r="GS5" s="260"/>
      <c r="GT5" s="260"/>
      <c r="GU5" s="260"/>
      <c r="GV5" s="260"/>
      <c r="GW5" s="260"/>
      <c r="GX5" s="260"/>
      <c r="GY5" s="260"/>
      <c r="GZ5" s="260"/>
      <c r="HA5" s="260"/>
      <c r="HB5" s="260"/>
      <c r="HC5" s="260"/>
      <c r="HD5" s="260"/>
      <c r="HE5" s="260"/>
      <c r="HF5" s="260"/>
      <c r="HG5" s="260"/>
      <c r="HH5" s="260"/>
      <c r="HI5" s="260"/>
      <c r="HJ5" s="260"/>
      <c r="HK5" s="260"/>
      <c r="HL5" s="260"/>
      <c r="HM5" s="260"/>
      <c r="HN5" s="260"/>
      <c r="HO5" s="260"/>
      <c r="HP5" s="264"/>
      <c r="HQ5" s="264"/>
      <c r="HR5" s="264"/>
      <c r="HS5" s="264"/>
      <c r="HT5" s="264"/>
      <c r="HU5" s="264"/>
      <c r="HV5" s="264"/>
      <c r="HW5" s="264"/>
      <c r="HX5" s="264"/>
      <c r="HY5" s="264"/>
      <c r="HZ5" s="264"/>
      <c r="IA5" s="264"/>
      <c r="IB5" s="264"/>
      <c r="IC5" s="264"/>
      <c r="ID5" s="264"/>
      <c r="IE5" s="264"/>
      <c r="IF5" s="264"/>
      <c r="IG5" s="264"/>
      <c r="IH5" s="264"/>
      <c r="II5" s="264"/>
      <c r="IJ5" s="264"/>
      <c r="IK5" s="264"/>
      <c r="IL5" s="264"/>
      <c r="IM5" s="264"/>
      <c r="IN5" s="264"/>
      <c r="IO5" s="264"/>
      <c r="IP5" s="264"/>
      <c r="IQ5" s="264"/>
      <c r="IR5" s="264"/>
    </row>
    <row r="6" spans="1:27" s="205" customFormat="1" ht="24" customHeight="1">
      <c r="A6" s="232" t="s">
        <v>260</v>
      </c>
      <c r="B6" s="233">
        <f aca="true" t="shared" si="3" ref="B6:G6">B7+B10+B14+B22+B26+B32+B38+B40+B43+B46+B48+B51+B55+B59+B61+B64+B66+B68+B73+B77+B80+B82+B86</f>
        <v>11121</v>
      </c>
      <c r="C6" s="233">
        <f t="shared" si="3"/>
        <v>9519</v>
      </c>
      <c r="D6" s="233">
        <f t="shared" si="3"/>
        <v>8</v>
      </c>
      <c r="E6" s="233">
        <f t="shared" si="3"/>
        <v>10319</v>
      </c>
      <c r="F6" s="233">
        <f t="shared" si="3"/>
        <v>8999</v>
      </c>
      <c r="G6" s="233">
        <f t="shared" si="3"/>
        <v>139</v>
      </c>
      <c r="H6" s="231">
        <f t="shared" si="1"/>
        <v>0.9278841830770614</v>
      </c>
      <c r="I6" s="245"/>
      <c r="J6" s="246"/>
      <c r="O6" s="247"/>
      <c r="P6" s="248"/>
      <c r="Q6" s="261"/>
      <c r="R6" s="261"/>
      <c r="S6" s="261"/>
      <c r="AA6" s="263">
        <f t="shared" si="2"/>
        <v>-1320</v>
      </c>
    </row>
    <row r="7" spans="1:27" s="206" customFormat="1" ht="24" customHeight="1">
      <c r="A7" s="234" t="s">
        <v>261</v>
      </c>
      <c r="B7" s="235">
        <f aca="true" t="shared" si="4" ref="B7:G7">SUM(B8:B9)</f>
        <v>509</v>
      </c>
      <c r="C7" s="235">
        <f t="shared" si="4"/>
        <v>509</v>
      </c>
      <c r="D7" s="235">
        <f t="shared" si="4"/>
        <v>0</v>
      </c>
      <c r="E7" s="235">
        <f t="shared" si="4"/>
        <v>294</v>
      </c>
      <c r="F7" s="235">
        <f t="shared" si="4"/>
        <v>294</v>
      </c>
      <c r="G7" s="235">
        <f t="shared" si="4"/>
        <v>0</v>
      </c>
      <c r="H7" s="231">
        <f t="shared" si="1"/>
        <v>0.5776031434184676</v>
      </c>
      <c r="I7" s="249"/>
      <c r="J7" s="250"/>
      <c r="O7" s="251"/>
      <c r="P7" s="252"/>
      <c r="U7" s="207"/>
      <c r="V7" s="207"/>
      <c r="W7" s="207"/>
      <c r="AA7" s="254">
        <f t="shared" si="2"/>
        <v>0</v>
      </c>
    </row>
    <row r="8" spans="1:27" s="206" customFormat="1" ht="30" customHeight="1">
      <c r="A8" s="234" t="s">
        <v>262</v>
      </c>
      <c r="B8" s="235">
        <v>462</v>
      </c>
      <c r="C8" s="235">
        <v>462</v>
      </c>
      <c r="D8" s="235"/>
      <c r="E8" s="235">
        <f>217+30</f>
        <v>247</v>
      </c>
      <c r="F8" s="235">
        <f>198+66-47+30</f>
        <v>247</v>
      </c>
      <c r="G8" s="235"/>
      <c r="H8" s="231">
        <f t="shared" si="1"/>
        <v>0.5346320346320347</v>
      </c>
      <c r="I8" s="249" t="s">
        <v>263</v>
      </c>
      <c r="O8" s="251"/>
      <c r="P8" s="252"/>
      <c r="U8" s="207"/>
      <c r="V8" s="207"/>
      <c r="W8" s="207"/>
      <c r="AA8" s="254">
        <f t="shared" si="2"/>
        <v>0</v>
      </c>
    </row>
    <row r="9" spans="1:27" s="206" customFormat="1" ht="24" customHeight="1">
      <c r="A9" s="234" t="s">
        <v>264</v>
      </c>
      <c r="B9" s="235">
        <v>47</v>
      </c>
      <c r="C9" s="235">
        <v>47</v>
      </c>
      <c r="D9" s="235"/>
      <c r="E9" s="235">
        <v>47</v>
      </c>
      <c r="F9" s="235">
        <v>47</v>
      </c>
      <c r="G9" s="235"/>
      <c r="H9" s="231">
        <f t="shared" si="1"/>
        <v>1</v>
      </c>
      <c r="I9" s="249" t="s">
        <v>265</v>
      </c>
      <c r="O9" s="251"/>
      <c r="P9" s="234"/>
      <c r="Q9" s="262"/>
      <c r="R9" s="262"/>
      <c r="U9" s="207"/>
      <c r="V9" s="207"/>
      <c r="W9" s="207"/>
      <c r="AA9" s="254">
        <f t="shared" si="2"/>
        <v>0</v>
      </c>
    </row>
    <row r="10" spans="1:27" s="206" customFormat="1" ht="24" customHeight="1">
      <c r="A10" s="234" t="s">
        <v>266</v>
      </c>
      <c r="B10" s="235">
        <v>323</v>
      </c>
      <c r="C10" s="235">
        <f>SUM(C11:C13)</f>
        <v>310</v>
      </c>
      <c r="D10" s="235">
        <f>SUM(D11:D13)</f>
        <v>0</v>
      </c>
      <c r="E10" s="235">
        <f>SUM(E11:E13)</f>
        <v>239</v>
      </c>
      <c r="F10" s="235">
        <f>SUM(F11:F13)</f>
        <v>239</v>
      </c>
      <c r="G10" s="235">
        <f>SUM(G11:G13)</f>
        <v>0</v>
      </c>
      <c r="H10" s="231">
        <f t="shared" si="1"/>
        <v>0.739938080495356</v>
      </c>
      <c r="I10" s="249"/>
      <c r="J10" s="250"/>
      <c r="O10" s="251"/>
      <c r="P10" s="252"/>
      <c r="U10" s="207"/>
      <c r="V10" s="207"/>
      <c r="W10" s="207"/>
      <c r="AA10" s="254">
        <f t="shared" si="2"/>
        <v>0</v>
      </c>
    </row>
    <row r="11" spans="1:27" s="206" customFormat="1" ht="24" customHeight="1">
      <c r="A11" s="234" t="s">
        <v>267</v>
      </c>
      <c r="B11" s="235">
        <v>288</v>
      </c>
      <c r="C11" s="235">
        <v>288</v>
      </c>
      <c r="D11" s="235"/>
      <c r="E11" s="235">
        <v>217</v>
      </c>
      <c r="F11" s="235">
        <f>198+41-22</f>
        <v>217</v>
      </c>
      <c r="G11" s="235"/>
      <c r="H11" s="231">
        <f t="shared" si="1"/>
        <v>0.7534722222222222</v>
      </c>
      <c r="I11" s="253"/>
      <c r="O11" s="251"/>
      <c r="P11" s="252"/>
      <c r="U11" s="207"/>
      <c r="V11" s="207"/>
      <c r="W11" s="207"/>
      <c r="AA11" s="254">
        <f t="shared" si="2"/>
        <v>0</v>
      </c>
    </row>
    <row r="12" spans="1:252" s="206" customFormat="1" ht="24" customHeight="1">
      <c r="A12" s="234" t="s">
        <v>268</v>
      </c>
      <c r="B12" s="235"/>
      <c r="C12" s="235"/>
      <c r="D12" s="235"/>
      <c r="E12" s="235"/>
      <c r="F12" s="235"/>
      <c r="G12" s="235"/>
      <c r="H12" s="231" t="e">
        <f t="shared" si="1"/>
        <v>#DIV/0!</v>
      </c>
      <c r="I12" s="249"/>
      <c r="J12" s="254"/>
      <c r="K12" s="254"/>
      <c r="L12" s="254"/>
      <c r="M12" s="254"/>
      <c r="N12" s="254"/>
      <c r="O12" s="251"/>
      <c r="P12" s="252"/>
      <c r="T12" s="262"/>
      <c r="U12" s="207"/>
      <c r="V12" s="207"/>
      <c r="W12" s="207"/>
      <c r="X12" s="262"/>
      <c r="Y12" s="262"/>
      <c r="Z12" s="262"/>
      <c r="AA12" s="254">
        <f t="shared" si="2"/>
        <v>0</v>
      </c>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2"/>
      <c r="GQ12" s="262"/>
      <c r="GR12" s="262"/>
      <c r="GS12" s="262"/>
      <c r="GT12" s="262"/>
      <c r="GU12" s="262"/>
      <c r="GV12" s="262"/>
      <c r="GW12" s="262"/>
      <c r="GX12" s="262"/>
      <c r="GY12" s="262"/>
      <c r="GZ12" s="262"/>
      <c r="HA12" s="262"/>
      <c r="HB12" s="262"/>
      <c r="HC12" s="262"/>
      <c r="HD12" s="262"/>
      <c r="HE12" s="262"/>
      <c r="HF12" s="262"/>
      <c r="HG12" s="262"/>
      <c r="HH12" s="262"/>
      <c r="HI12" s="262"/>
      <c r="HJ12" s="262"/>
      <c r="HK12" s="262"/>
      <c r="HL12" s="262"/>
      <c r="HM12" s="262"/>
      <c r="HN12" s="262"/>
      <c r="HO12" s="262"/>
      <c r="HP12" s="265"/>
      <c r="HQ12" s="265"/>
      <c r="HR12" s="265"/>
      <c r="HS12" s="265"/>
      <c r="HT12" s="265"/>
      <c r="HU12" s="265"/>
      <c r="HV12" s="265"/>
      <c r="HW12" s="265"/>
      <c r="HX12" s="265"/>
      <c r="HY12" s="265"/>
      <c r="HZ12" s="265"/>
      <c r="IA12" s="265"/>
      <c r="IB12" s="265"/>
      <c r="IC12" s="265"/>
      <c r="ID12" s="265"/>
      <c r="IE12" s="265"/>
      <c r="IF12" s="265"/>
      <c r="IG12" s="265"/>
      <c r="IH12" s="265"/>
      <c r="II12" s="265"/>
      <c r="IJ12" s="265"/>
      <c r="IK12" s="265"/>
      <c r="IL12" s="265"/>
      <c r="IM12" s="265"/>
      <c r="IN12" s="265"/>
      <c r="IO12" s="265"/>
      <c r="IP12" s="265"/>
      <c r="IQ12" s="265"/>
      <c r="IR12" s="265"/>
    </row>
    <row r="13" spans="1:27" s="206" customFormat="1" ht="24" customHeight="1">
      <c r="A13" s="234" t="s">
        <v>269</v>
      </c>
      <c r="B13" s="235">
        <v>22</v>
      </c>
      <c r="C13" s="235">
        <v>22</v>
      </c>
      <c r="D13" s="235"/>
      <c r="E13" s="235">
        <v>22</v>
      </c>
      <c r="F13" s="235">
        <v>22</v>
      </c>
      <c r="G13" s="235"/>
      <c r="H13" s="231">
        <f t="shared" si="1"/>
        <v>1</v>
      </c>
      <c r="I13" s="249" t="s">
        <v>270</v>
      </c>
      <c r="O13" s="251"/>
      <c r="P13" s="234"/>
      <c r="Q13" s="262"/>
      <c r="R13" s="262"/>
      <c r="U13" s="207"/>
      <c r="V13" s="207"/>
      <c r="W13" s="207"/>
      <c r="AA13" s="254">
        <f t="shared" si="2"/>
        <v>0</v>
      </c>
    </row>
    <row r="14" spans="1:252" s="206" customFormat="1" ht="24" customHeight="1">
      <c r="A14" s="234" t="s">
        <v>271</v>
      </c>
      <c r="B14" s="235">
        <f aca="true" t="shared" si="5" ref="B14:G14">SUM(B15:B21)</f>
        <v>3587</v>
      </c>
      <c r="C14" s="235">
        <f t="shared" si="5"/>
        <v>1998</v>
      </c>
      <c r="D14" s="235">
        <f t="shared" si="5"/>
        <v>0</v>
      </c>
      <c r="E14" s="235">
        <f t="shared" si="5"/>
        <v>3880</v>
      </c>
      <c r="F14" s="235">
        <f t="shared" si="5"/>
        <v>2560</v>
      </c>
      <c r="G14" s="235">
        <f t="shared" si="5"/>
        <v>0</v>
      </c>
      <c r="H14" s="231">
        <f t="shared" si="1"/>
        <v>1.0816838583774742</v>
      </c>
      <c r="I14" s="249"/>
      <c r="J14" s="250"/>
      <c r="K14" s="254"/>
      <c r="L14" s="254"/>
      <c r="M14" s="254"/>
      <c r="N14" s="254"/>
      <c r="O14" s="251"/>
      <c r="P14" s="252"/>
      <c r="T14" s="262"/>
      <c r="U14" s="207"/>
      <c r="V14" s="207"/>
      <c r="W14" s="207"/>
      <c r="X14" s="262"/>
      <c r="Y14" s="262"/>
      <c r="Z14" s="262"/>
      <c r="AA14" s="254">
        <f t="shared" si="2"/>
        <v>-1320</v>
      </c>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c r="DM14" s="262"/>
      <c r="DN14" s="262"/>
      <c r="DO14" s="262"/>
      <c r="DP14" s="262"/>
      <c r="DQ14" s="262"/>
      <c r="DR14" s="262"/>
      <c r="DS14" s="262"/>
      <c r="DT14" s="262"/>
      <c r="DU14" s="262"/>
      <c r="DV14" s="262"/>
      <c r="DW14" s="262"/>
      <c r="DX14" s="262"/>
      <c r="DY14" s="262"/>
      <c r="DZ14" s="262"/>
      <c r="EA14" s="262"/>
      <c r="EB14" s="262"/>
      <c r="EC14" s="262"/>
      <c r="ED14" s="262"/>
      <c r="EE14" s="262"/>
      <c r="EF14" s="262"/>
      <c r="EG14" s="262"/>
      <c r="EH14" s="262"/>
      <c r="EI14" s="262"/>
      <c r="EJ14" s="262"/>
      <c r="EK14" s="262"/>
      <c r="EL14" s="262"/>
      <c r="EM14" s="262"/>
      <c r="EN14" s="262"/>
      <c r="EO14" s="262"/>
      <c r="EP14" s="262"/>
      <c r="EQ14" s="262"/>
      <c r="ER14" s="262"/>
      <c r="ES14" s="262"/>
      <c r="ET14" s="262"/>
      <c r="EU14" s="262"/>
      <c r="EV14" s="262"/>
      <c r="EW14" s="262"/>
      <c r="EX14" s="262"/>
      <c r="EY14" s="262"/>
      <c r="EZ14" s="262"/>
      <c r="FA14" s="262"/>
      <c r="FB14" s="262"/>
      <c r="FC14" s="262"/>
      <c r="FD14" s="262"/>
      <c r="FE14" s="262"/>
      <c r="FF14" s="262"/>
      <c r="FG14" s="262"/>
      <c r="FH14" s="262"/>
      <c r="FI14" s="262"/>
      <c r="FJ14" s="262"/>
      <c r="FK14" s="262"/>
      <c r="FL14" s="262"/>
      <c r="FM14" s="262"/>
      <c r="FN14" s="262"/>
      <c r="FO14" s="262"/>
      <c r="FP14" s="262"/>
      <c r="FQ14" s="262"/>
      <c r="FR14" s="262"/>
      <c r="FS14" s="262"/>
      <c r="FT14" s="262"/>
      <c r="FU14" s="262"/>
      <c r="FV14" s="262"/>
      <c r="FW14" s="262"/>
      <c r="FX14" s="262"/>
      <c r="FY14" s="262"/>
      <c r="FZ14" s="262"/>
      <c r="GA14" s="262"/>
      <c r="GB14" s="262"/>
      <c r="GC14" s="262"/>
      <c r="GD14" s="262"/>
      <c r="GE14" s="262"/>
      <c r="GF14" s="262"/>
      <c r="GG14" s="262"/>
      <c r="GH14" s="262"/>
      <c r="GI14" s="262"/>
      <c r="GJ14" s="262"/>
      <c r="GK14" s="262"/>
      <c r="GL14" s="262"/>
      <c r="GM14" s="262"/>
      <c r="GN14" s="262"/>
      <c r="GO14" s="262"/>
      <c r="GP14" s="262"/>
      <c r="GQ14" s="262"/>
      <c r="GR14" s="262"/>
      <c r="GS14" s="262"/>
      <c r="GT14" s="262"/>
      <c r="GU14" s="262"/>
      <c r="GV14" s="262"/>
      <c r="GW14" s="262"/>
      <c r="GX14" s="262"/>
      <c r="GY14" s="262"/>
      <c r="GZ14" s="262"/>
      <c r="HA14" s="262"/>
      <c r="HB14" s="262"/>
      <c r="HC14" s="262"/>
      <c r="HD14" s="262"/>
      <c r="HE14" s="262"/>
      <c r="HF14" s="262"/>
      <c r="HG14" s="262"/>
      <c r="HH14" s="262"/>
      <c r="HI14" s="262"/>
      <c r="HJ14" s="262"/>
      <c r="HK14" s="262"/>
      <c r="HL14" s="262"/>
      <c r="HM14" s="262"/>
      <c r="HN14" s="262"/>
      <c r="HO14" s="262"/>
      <c r="HP14" s="265"/>
      <c r="HQ14" s="265"/>
      <c r="HR14" s="265"/>
      <c r="HS14" s="265"/>
      <c r="HT14" s="265"/>
      <c r="HU14" s="265"/>
      <c r="HV14" s="265"/>
      <c r="HW14" s="265"/>
      <c r="HX14" s="265"/>
      <c r="HY14" s="265"/>
      <c r="HZ14" s="265"/>
      <c r="IA14" s="265"/>
      <c r="IB14" s="265"/>
      <c r="IC14" s="265"/>
      <c r="ID14" s="265"/>
      <c r="IE14" s="265"/>
      <c r="IF14" s="265"/>
      <c r="IG14" s="265"/>
      <c r="IH14" s="265"/>
      <c r="II14" s="265"/>
      <c r="IJ14" s="265"/>
      <c r="IK14" s="265"/>
      <c r="IL14" s="265"/>
      <c r="IM14" s="265"/>
      <c r="IN14" s="265"/>
      <c r="IO14" s="265"/>
      <c r="IP14" s="265"/>
      <c r="IQ14" s="265"/>
      <c r="IR14" s="265"/>
    </row>
    <row r="15" spans="1:27" s="206" customFormat="1" ht="24" customHeight="1">
      <c r="A15" s="234" t="s">
        <v>272</v>
      </c>
      <c r="B15" s="235">
        <f>3060+196-1027</f>
        <v>2229</v>
      </c>
      <c r="C15" s="235">
        <f>2229-1589</f>
        <v>640</v>
      </c>
      <c r="D15" s="235"/>
      <c r="E15" s="235">
        <f>2764-680</f>
        <v>2084</v>
      </c>
      <c r="F15" s="235">
        <v>764</v>
      </c>
      <c r="G15" s="235"/>
      <c r="H15" s="231">
        <f t="shared" si="1"/>
        <v>0.9349484073575595</v>
      </c>
      <c r="I15" s="249"/>
      <c r="O15" s="251"/>
      <c r="P15" s="252"/>
      <c r="U15" s="207"/>
      <c r="V15" s="207"/>
      <c r="W15" s="207"/>
      <c r="AA15" s="254">
        <f t="shared" si="2"/>
        <v>-1320</v>
      </c>
    </row>
    <row r="16" spans="1:27" s="206" customFormat="1" ht="24" customHeight="1">
      <c r="A16" s="234" t="s">
        <v>273</v>
      </c>
      <c r="B16" s="235">
        <v>27</v>
      </c>
      <c r="C16" s="235">
        <f>27</f>
        <v>27</v>
      </c>
      <c r="D16" s="235"/>
      <c r="E16" s="235"/>
      <c r="F16" s="235"/>
      <c r="G16" s="235"/>
      <c r="H16" s="231">
        <f t="shared" si="1"/>
        <v>0</v>
      </c>
      <c r="I16" s="249"/>
      <c r="O16" s="251"/>
      <c r="P16" s="252"/>
      <c r="U16" s="207"/>
      <c r="V16" s="207"/>
      <c r="W16" s="207"/>
      <c r="AA16" s="254">
        <f t="shared" si="2"/>
        <v>0</v>
      </c>
    </row>
    <row r="17" spans="1:252" s="206" customFormat="1" ht="24" customHeight="1">
      <c r="A17" s="234" t="s">
        <v>274</v>
      </c>
      <c r="B17" s="235"/>
      <c r="C17" s="235"/>
      <c r="D17" s="235"/>
      <c r="E17" s="235"/>
      <c r="F17" s="235"/>
      <c r="G17" s="235"/>
      <c r="H17" s="231" t="e">
        <f t="shared" si="1"/>
        <v>#DIV/0!</v>
      </c>
      <c r="I17" s="249"/>
      <c r="J17" s="254"/>
      <c r="K17" s="254"/>
      <c r="L17" s="254"/>
      <c r="M17" s="254"/>
      <c r="N17" s="254"/>
      <c r="O17" s="251"/>
      <c r="P17" s="252"/>
      <c r="T17" s="262"/>
      <c r="U17" s="207"/>
      <c r="V17" s="207"/>
      <c r="W17" s="207"/>
      <c r="X17" s="262"/>
      <c r="Y17" s="262"/>
      <c r="Z17" s="262"/>
      <c r="AA17" s="254">
        <f t="shared" si="2"/>
        <v>0</v>
      </c>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c r="DM17" s="262"/>
      <c r="DN17" s="262"/>
      <c r="DO17" s="262"/>
      <c r="DP17" s="262"/>
      <c r="DQ17" s="262"/>
      <c r="DR17" s="262"/>
      <c r="DS17" s="262"/>
      <c r="DT17" s="262"/>
      <c r="DU17" s="262"/>
      <c r="DV17" s="262"/>
      <c r="DW17" s="262"/>
      <c r="DX17" s="262"/>
      <c r="DY17" s="262"/>
      <c r="DZ17" s="262"/>
      <c r="EA17" s="262"/>
      <c r="EB17" s="262"/>
      <c r="EC17" s="262"/>
      <c r="ED17" s="262"/>
      <c r="EE17" s="262"/>
      <c r="EF17" s="262"/>
      <c r="EG17" s="262"/>
      <c r="EH17" s="262"/>
      <c r="EI17" s="262"/>
      <c r="EJ17" s="262"/>
      <c r="EK17" s="262"/>
      <c r="EL17" s="262"/>
      <c r="EM17" s="262"/>
      <c r="EN17" s="262"/>
      <c r="EO17" s="262"/>
      <c r="EP17" s="262"/>
      <c r="EQ17" s="262"/>
      <c r="ER17" s="262"/>
      <c r="ES17" s="262"/>
      <c r="ET17" s="262"/>
      <c r="EU17" s="262"/>
      <c r="EV17" s="262"/>
      <c r="EW17" s="262"/>
      <c r="EX17" s="262"/>
      <c r="EY17" s="262"/>
      <c r="EZ17" s="262"/>
      <c r="FA17" s="262"/>
      <c r="FB17" s="262"/>
      <c r="FC17" s="262"/>
      <c r="FD17" s="262"/>
      <c r="FE17" s="262"/>
      <c r="FF17" s="262"/>
      <c r="FG17" s="262"/>
      <c r="FH17" s="262"/>
      <c r="FI17" s="262"/>
      <c r="FJ17" s="262"/>
      <c r="FK17" s="262"/>
      <c r="FL17" s="262"/>
      <c r="FM17" s="262"/>
      <c r="FN17" s="262"/>
      <c r="FO17" s="262"/>
      <c r="FP17" s="262"/>
      <c r="FQ17" s="262"/>
      <c r="FR17" s="262"/>
      <c r="FS17" s="262"/>
      <c r="FT17" s="262"/>
      <c r="FU17" s="262"/>
      <c r="FV17" s="262"/>
      <c r="FW17" s="262"/>
      <c r="FX17" s="262"/>
      <c r="FY17" s="262"/>
      <c r="FZ17" s="262"/>
      <c r="GA17" s="262"/>
      <c r="GB17" s="262"/>
      <c r="GC17" s="262"/>
      <c r="GD17" s="262"/>
      <c r="GE17" s="262"/>
      <c r="GF17" s="262"/>
      <c r="GG17" s="262"/>
      <c r="GH17" s="262"/>
      <c r="GI17" s="262"/>
      <c r="GJ17" s="262"/>
      <c r="GK17" s="262"/>
      <c r="GL17" s="262"/>
      <c r="GM17" s="262"/>
      <c r="GN17" s="262"/>
      <c r="GO17" s="262"/>
      <c r="GP17" s="262"/>
      <c r="GQ17" s="262"/>
      <c r="GR17" s="262"/>
      <c r="GS17" s="262"/>
      <c r="GT17" s="262"/>
      <c r="GU17" s="262"/>
      <c r="GV17" s="262"/>
      <c r="GW17" s="262"/>
      <c r="GX17" s="262"/>
      <c r="GY17" s="262"/>
      <c r="GZ17" s="262"/>
      <c r="HA17" s="262"/>
      <c r="HB17" s="262"/>
      <c r="HC17" s="262"/>
      <c r="HD17" s="262"/>
      <c r="HE17" s="262"/>
      <c r="HF17" s="262"/>
      <c r="HG17" s="262"/>
      <c r="HH17" s="262"/>
      <c r="HI17" s="262"/>
      <c r="HJ17" s="262"/>
      <c r="HK17" s="262"/>
      <c r="HL17" s="262"/>
      <c r="HM17" s="262"/>
      <c r="HN17" s="262"/>
      <c r="HO17" s="262"/>
      <c r="HP17" s="265"/>
      <c r="HQ17" s="265"/>
      <c r="HR17" s="265"/>
      <c r="HS17" s="265"/>
      <c r="HT17" s="265"/>
      <c r="HU17" s="265"/>
      <c r="HV17" s="265"/>
      <c r="HW17" s="265"/>
      <c r="HX17" s="265"/>
      <c r="HY17" s="265"/>
      <c r="HZ17" s="265"/>
      <c r="IA17" s="265"/>
      <c r="IB17" s="265"/>
      <c r="IC17" s="265"/>
      <c r="ID17" s="265"/>
      <c r="IE17" s="265"/>
      <c r="IF17" s="265"/>
      <c r="IG17" s="265"/>
      <c r="IH17" s="265"/>
      <c r="II17" s="265"/>
      <c r="IJ17" s="265"/>
      <c r="IK17" s="265"/>
      <c r="IL17" s="265"/>
      <c r="IM17" s="265"/>
      <c r="IN17" s="265"/>
      <c r="IO17" s="265"/>
      <c r="IP17" s="265"/>
      <c r="IQ17" s="265"/>
      <c r="IR17" s="265"/>
    </row>
    <row r="18" spans="1:27" s="206" customFormat="1" ht="24" customHeight="1">
      <c r="A18" s="234" t="s">
        <v>275</v>
      </c>
      <c r="B18" s="235">
        <v>226</v>
      </c>
      <c r="C18" s="235">
        <f>60+166</f>
        <v>226</v>
      </c>
      <c r="D18" s="235"/>
      <c r="E18" s="235">
        <v>214</v>
      </c>
      <c r="F18" s="235">
        <f>65+149</f>
        <v>214</v>
      </c>
      <c r="G18" s="235"/>
      <c r="H18" s="231">
        <f t="shared" si="1"/>
        <v>0.9469026548672567</v>
      </c>
      <c r="I18" s="255"/>
      <c r="O18" s="251"/>
      <c r="P18" s="252"/>
      <c r="U18" s="207"/>
      <c r="V18" s="207"/>
      <c r="W18" s="207"/>
      <c r="AA18" s="254">
        <f t="shared" si="2"/>
        <v>0</v>
      </c>
    </row>
    <row r="19" spans="1:27" s="206" customFormat="1" ht="24" customHeight="1">
      <c r="A19" s="234" t="s">
        <v>276</v>
      </c>
      <c r="B19" s="235"/>
      <c r="C19" s="235"/>
      <c r="D19" s="235"/>
      <c r="E19" s="235"/>
      <c r="F19" s="235"/>
      <c r="G19" s="235"/>
      <c r="H19" s="231" t="e">
        <f t="shared" si="1"/>
        <v>#DIV/0!</v>
      </c>
      <c r="I19" s="255"/>
      <c r="O19" s="251"/>
      <c r="P19" s="234"/>
      <c r="Q19" s="262"/>
      <c r="R19" s="262"/>
      <c r="U19" s="207"/>
      <c r="V19" s="207"/>
      <c r="W19" s="207"/>
      <c r="AA19" s="254">
        <f t="shared" si="2"/>
        <v>0</v>
      </c>
    </row>
    <row r="20" spans="1:27" s="206" customFormat="1" ht="24" customHeight="1">
      <c r="A20" s="234" t="s">
        <v>277</v>
      </c>
      <c r="B20" s="235"/>
      <c r="C20" s="235"/>
      <c r="D20" s="235"/>
      <c r="E20" s="235"/>
      <c r="F20" s="235"/>
      <c r="G20" s="235"/>
      <c r="H20" s="231" t="e">
        <f t="shared" si="1"/>
        <v>#DIV/0!</v>
      </c>
      <c r="I20" s="255"/>
      <c r="O20" s="251"/>
      <c r="P20" s="252"/>
      <c r="U20" s="207"/>
      <c r="V20" s="207"/>
      <c r="W20" s="207"/>
      <c r="AA20" s="254">
        <f t="shared" si="2"/>
        <v>0</v>
      </c>
    </row>
    <row r="21" spans="1:27" s="207" customFormat="1" ht="30.75" customHeight="1">
      <c r="A21" s="234" t="s">
        <v>278</v>
      </c>
      <c r="B21" s="235">
        <f>661+444</f>
        <v>1105</v>
      </c>
      <c r="C21" s="235">
        <v>1105</v>
      </c>
      <c r="D21" s="235"/>
      <c r="E21" s="235">
        <v>1582</v>
      </c>
      <c r="F21" s="235">
        <f>382+1200</f>
        <v>1582</v>
      </c>
      <c r="G21" s="235"/>
      <c r="H21" s="231">
        <f t="shared" si="1"/>
        <v>1.4316742081447964</v>
      </c>
      <c r="I21" s="249"/>
      <c r="O21" s="251"/>
      <c r="P21" s="252"/>
      <c r="Q21" s="206"/>
      <c r="R21" s="206"/>
      <c r="AA21" s="254">
        <f t="shared" si="2"/>
        <v>0</v>
      </c>
    </row>
    <row r="22" spans="1:27" s="207" customFormat="1" ht="24" customHeight="1">
      <c r="A22" s="234" t="s">
        <v>279</v>
      </c>
      <c r="B22" s="235">
        <f aca="true" t="shared" si="6" ref="B22:G22">SUM(B23:B25)</f>
        <v>630</v>
      </c>
      <c r="C22" s="235">
        <f t="shared" si="6"/>
        <v>630</v>
      </c>
      <c r="D22" s="235">
        <f t="shared" si="6"/>
        <v>0</v>
      </c>
      <c r="E22" s="235">
        <f t="shared" si="6"/>
        <v>372</v>
      </c>
      <c r="F22" s="235">
        <f t="shared" si="6"/>
        <v>372</v>
      </c>
      <c r="G22" s="235">
        <f t="shared" si="6"/>
        <v>0</v>
      </c>
      <c r="H22" s="231">
        <f t="shared" si="1"/>
        <v>0.5904761904761905</v>
      </c>
      <c r="I22" s="249"/>
      <c r="J22" s="250"/>
      <c r="O22" s="251"/>
      <c r="P22" s="252"/>
      <c r="Q22" s="206"/>
      <c r="R22" s="206"/>
      <c r="AA22" s="254">
        <f t="shared" si="2"/>
        <v>0</v>
      </c>
    </row>
    <row r="23" spans="1:27" s="207" customFormat="1" ht="24" customHeight="1">
      <c r="A23" s="234" t="s">
        <v>280</v>
      </c>
      <c r="B23" s="235">
        <v>630</v>
      </c>
      <c r="C23" s="235">
        <v>630</v>
      </c>
      <c r="D23" s="235"/>
      <c r="E23" s="235">
        <v>372</v>
      </c>
      <c r="F23" s="235">
        <f>355+17</f>
        <v>372</v>
      </c>
      <c r="G23" s="235"/>
      <c r="H23" s="231">
        <f t="shared" si="1"/>
        <v>0.5904761904761905</v>
      </c>
      <c r="I23" s="255"/>
      <c r="O23" s="251"/>
      <c r="P23" s="252"/>
      <c r="Q23" s="206"/>
      <c r="R23" s="206"/>
      <c r="AA23" s="254">
        <f t="shared" si="2"/>
        <v>0</v>
      </c>
    </row>
    <row r="24" spans="1:27" s="206" customFormat="1" ht="30" customHeight="1">
      <c r="A24" s="234" t="s">
        <v>281</v>
      </c>
      <c r="B24" s="235"/>
      <c r="C24" s="235"/>
      <c r="D24" s="235"/>
      <c r="E24" s="235"/>
      <c r="F24" s="235"/>
      <c r="G24" s="235"/>
      <c r="H24" s="231" t="e">
        <f t="shared" si="1"/>
        <v>#DIV/0!</v>
      </c>
      <c r="I24" s="249"/>
      <c r="O24" s="251"/>
      <c r="P24" s="252"/>
      <c r="Q24" s="207"/>
      <c r="R24" s="207"/>
      <c r="U24" s="207"/>
      <c r="V24" s="207"/>
      <c r="W24" s="207"/>
      <c r="AA24" s="254">
        <f t="shared" si="2"/>
        <v>0</v>
      </c>
    </row>
    <row r="25" spans="1:27" s="206" customFormat="1" ht="24" customHeight="1">
      <c r="A25" s="234" t="s">
        <v>282</v>
      </c>
      <c r="B25" s="235"/>
      <c r="C25" s="235"/>
      <c r="D25" s="235"/>
      <c r="E25" s="235"/>
      <c r="F25" s="235"/>
      <c r="G25" s="235"/>
      <c r="H25" s="231" t="e">
        <f t="shared" si="1"/>
        <v>#DIV/0!</v>
      </c>
      <c r="I25" s="249"/>
      <c r="O25" s="251"/>
      <c r="P25" s="252"/>
      <c r="U25" s="207"/>
      <c r="V25" s="207"/>
      <c r="W25" s="207"/>
      <c r="AA25" s="254">
        <f t="shared" si="2"/>
        <v>0</v>
      </c>
    </row>
    <row r="26" spans="1:27" s="206" customFormat="1" ht="24" customHeight="1">
      <c r="A26" s="234" t="s">
        <v>283</v>
      </c>
      <c r="B26" s="235">
        <f aca="true" t="shared" si="7" ref="B26:G26">SUM(B27:B31)</f>
        <v>360</v>
      </c>
      <c r="C26" s="235">
        <f t="shared" si="7"/>
        <v>360</v>
      </c>
      <c r="D26" s="235">
        <f t="shared" si="7"/>
        <v>0</v>
      </c>
      <c r="E26" s="235">
        <f t="shared" si="7"/>
        <v>341</v>
      </c>
      <c r="F26" s="235">
        <f t="shared" si="7"/>
        <v>341</v>
      </c>
      <c r="G26" s="235">
        <f t="shared" si="7"/>
        <v>6</v>
      </c>
      <c r="H26" s="231">
        <f t="shared" si="1"/>
        <v>0.9472222222222222</v>
      </c>
      <c r="I26" s="249"/>
      <c r="J26" s="250"/>
      <c r="O26" s="251"/>
      <c r="P26" s="252"/>
      <c r="U26" s="207"/>
      <c r="V26" s="207"/>
      <c r="W26" s="207"/>
      <c r="AA26" s="254">
        <f t="shared" si="2"/>
        <v>0</v>
      </c>
    </row>
    <row r="27" spans="1:27" s="206" customFormat="1" ht="24" customHeight="1">
      <c r="A27" s="234" t="s">
        <v>284</v>
      </c>
      <c r="B27" s="235">
        <v>101</v>
      </c>
      <c r="C27" s="235">
        <v>101</v>
      </c>
      <c r="D27" s="235"/>
      <c r="E27" s="235">
        <v>216</v>
      </c>
      <c r="F27" s="235">
        <f>198+18</f>
        <v>216</v>
      </c>
      <c r="G27" s="235"/>
      <c r="H27" s="231">
        <f t="shared" si="1"/>
        <v>2.1386138613861387</v>
      </c>
      <c r="I27" s="249"/>
      <c r="O27" s="251"/>
      <c r="P27" s="252"/>
      <c r="U27" s="207"/>
      <c r="V27" s="207"/>
      <c r="W27" s="207"/>
      <c r="AA27" s="254">
        <f t="shared" si="2"/>
        <v>0</v>
      </c>
    </row>
    <row r="28" spans="1:27" s="206" customFormat="1" ht="24" customHeight="1">
      <c r="A28" s="234" t="s">
        <v>285</v>
      </c>
      <c r="B28" s="235">
        <v>23</v>
      </c>
      <c r="C28" s="235">
        <v>23</v>
      </c>
      <c r="D28" s="235"/>
      <c r="E28" s="235">
        <v>23</v>
      </c>
      <c r="F28" s="235">
        <v>23</v>
      </c>
      <c r="G28" s="235">
        <v>6</v>
      </c>
      <c r="H28" s="231">
        <f t="shared" si="1"/>
        <v>1</v>
      </c>
      <c r="I28" s="249" t="s">
        <v>286</v>
      </c>
      <c r="O28" s="251"/>
      <c r="P28" s="252"/>
      <c r="U28" s="207"/>
      <c r="V28" s="207"/>
      <c r="W28" s="207"/>
      <c r="AA28" s="254">
        <f t="shared" si="2"/>
        <v>0</v>
      </c>
    </row>
    <row r="29" spans="1:27" s="206" customFormat="1" ht="24" customHeight="1">
      <c r="A29" s="234" t="s">
        <v>287</v>
      </c>
      <c r="B29" s="235">
        <v>141</v>
      </c>
      <c r="C29" s="235">
        <v>141</v>
      </c>
      <c r="D29" s="235"/>
      <c r="E29" s="235"/>
      <c r="F29" s="235"/>
      <c r="G29" s="235"/>
      <c r="H29" s="231">
        <f t="shared" si="1"/>
        <v>0</v>
      </c>
      <c r="I29" s="249"/>
      <c r="O29" s="251"/>
      <c r="P29" s="252"/>
      <c r="U29" s="207"/>
      <c r="V29" s="207"/>
      <c r="W29" s="207"/>
      <c r="AA29" s="254"/>
    </row>
    <row r="30" spans="1:27" s="206" customFormat="1" ht="24" customHeight="1">
      <c r="A30" s="234" t="s">
        <v>288</v>
      </c>
      <c r="B30" s="235"/>
      <c r="C30" s="235"/>
      <c r="D30" s="235"/>
      <c r="E30" s="235"/>
      <c r="F30" s="235"/>
      <c r="G30" s="235"/>
      <c r="H30" s="231" t="e">
        <f t="shared" si="1"/>
        <v>#DIV/0!</v>
      </c>
      <c r="I30" s="249"/>
      <c r="O30" s="251"/>
      <c r="P30" s="252"/>
      <c r="U30" s="207"/>
      <c r="V30" s="207"/>
      <c r="W30" s="207"/>
      <c r="AA30" s="254">
        <f>F30-E30</f>
        <v>0</v>
      </c>
    </row>
    <row r="31" spans="1:27" s="206" customFormat="1" ht="24" customHeight="1">
      <c r="A31" s="234" t="s">
        <v>289</v>
      </c>
      <c r="B31" s="235">
        <v>95</v>
      </c>
      <c r="C31" s="235">
        <v>95</v>
      </c>
      <c r="D31" s="235"/>
      <c r="E31" s="235">
        <v>102</v>
      </c>
      <c r="F31" s="235">
        <f>102</f>
        <v>102</v>
      </c>
      <c r="G31" s="235"/>
      <c r="H31" s="231">
        <f t="shared" si="1"/>
        <v>1.0736842105263158</v>
      </c>
      <c r="I31" s="249"/>
      <c r="O31" s="251"/>
      <c r="P31" s="252"/>
      <c r="U31" s="207"/>
      <c r="V31" s="207"/>
      <c r="W31" s="207"/>
      <c r="AA31" s="254"/>
    </row>
    <row r="32" spans="1:27" s="206" customFormat="1" ht="24" customHeight="1">
      <c r="A32" s="234" t="s">
        <v>290</v>
      </c>
      <c r="B32" s="235">
        <f aca="true" t="shared" si="8" ref="B32:G32">SUM(B33:B37)</f>
        <v>982</v>
      </c>
      <c r="C32" s="235">
        <f t="shared" si="8"/>
        <v>982</v>
      </c>
      <c r="D32" s="235">
        <f t="shared" si="8"/>
        <v>0</v>
      </c>
      <c r="E32" s="235">
        <f t="shared" si="8"/>
        <v>1002</v>
      </c>
      <c r="F32" s="235">
        <f t="shared" si="8"/>
        <v>1002</v>
      </c>
      <c r="G32" s="235">
        <f t="shared" si="8"/>
        <v>0</v>
      </c>
      <c r="H32" s="231">
        <f t="shared" si="1"/>
        <v>1.0203665987780042</v>
      </c>
      <c r="I32" s="249"/>
      <c r="J32" s="250"/>
      <c r="O32" s="251"/>
      <c r="P32" s="252"/>
      <c r="U32" s="207"/>
      <c r="V32" s="207"/>
      <c r="W32" s="207"/>
      <c r="AA32" s="254">
        <f aca="true" t="shared" si="9" ref="AA32:AA90">F32-E32</f>
        <v>0</v>
      </c>
    </row>
    <row r="33" spans="1:27" s="206" customFormat="1" ht="24" customHeight="1">
      <c r="A33" s="234" t="s">
        <v>291</v>
      </c>
      <c r="B33" s="235">
        <v>254</v>
      </c>
      <c r="C33" s="235">
        <f>203+51</f>
        <v>254</v>
      </c>
      <c r="D33" s="235"/>
      <c r="E33" s="235">
        <v>210</v>
      </c>
      <c r="F33" s="235">
        <f>164+46</f>
        <v>210</v>
      </c>
      <c r="G33" s="235"/>
      <c r="H33" s="231">
        <f t="shared" si="1"/>
        <v>0.8267716535433071</v>
      </c>
      <c r="I33" s="249"/>
      <c r="O33" s="251"/>
      <c r="P33" s="252"/>
      <c r="U33" s="207"/>
      <c r="V33" s="207"/>
      <c r="W33" s="207"/>
      <c r="AA33" s="254">
        <f t="shared" si="9"/>
        <v>0</v>
      </c>
    </row>
    <row r="34" spans="1:27" s="206" customFormat="1" ht="24" customHeight="1">
      <c r="A34" s="234" t="s">
        <v>292</v>
      </c>
      <c r="B34" s="235"/>
      <c r="C34" s="235"/>
      <c r="D34" s="235"/>
      <c r="E34" s="235"/>
      <c r="F34" s="235"/>
      <c r="G34" s="235"/>
      <c r="H34" s="231" t="e">
        <f t="shared" si="1"/>
        <v>#DIV/0!</v>
      </c>
      <c r="I34" s="249"/>
      <c r="O34" s="251"/>
      <c r="P34" s="252"/>
      <c r="U34" s="207"/>
      <c r="V34" s="207"/>
      <c r="W34" s="207"/>
      <c r="AA34" s="254">
        <f t="shared" si="9"/>
        <v>0</v>
      </c>
    </row>
    <row r="35" spans="1:27" s="206" customFormat="1" ht="24" customHeight="1">
      <c r="A35" s="234" t="s">
        <v>293</v>
      </c>
      <c r="B35" s="235"/>
      <c r="C35" s="235"/>
      <c r="D35" s="235"/>
      <c r="E35" s="235"/>
      <c r="F35" s="235"/>
      <c r="G35" s="235"/>
      <c r="H35" s="231" t="e">
        <f t="shared" si="1"/>
        <v>#DIV/0!</v>
      </c>
      <c r="I35" s="249"/>
      <c r="O35" s="251"/>
      <c r="P35" s="252"/>
      <c r="U35" s="207"/>
      <c r="V35" s="207"/>
      <c r="W35" s="207"/>
      <c r="AA35" s="254">
        <f t="shared" si="9"/>
        <v>0</v>
      </c>
    </row>
    <row r="36" spans="1:27" s="206" customFormat="1" ht="24" customHeight="1">
      <c r="A36" s="234" t="s">
        <v>294</v>
      </c>
      <c r="B36" s="235">
        <v>624</v>
      </c>
      <c r="C36" s="235">
        <v>624</v>
      </c>
      <c r="D36" s="235"/>
      <c r="E36" s="235">
        <v>624</v>
      </c>
      <c r="F36" s="235">
        <v>624</v>
      </c>
      <c r="G36" s="235"/>
      <c r="H36" s="231">
        <f t="shared" si="1"/>
        <v>1</v>
      </c>
      <c r="I36" s="249"/>
      <c r="O36" s="251"/>
      <c r="P36" s="252"/>
      <c r="U36" s="207"/>
      <c r="V36" s="207"/>
      <c r="W36" s="207"/>
      <c r="AA36" s="254">
        <f t="shared" si="9"/>
        <v>0</v>
      </c>
    </row>
    <row r="37" spans="1:252" s="206" customFormat="1" ht="24" customHeight="1">
      <c r="A37" s="234" t="s">
        <v>295</v>
      </c>
      <c r="B37" s="235">
        <v>104</v>
      </c>
      <c r="C37" s="235">
        <v>104</v>
      </c>
      <c r="D37" s="235"/>
      <c r="E37" s="235">
        <v>168</v>
      </c>
      <c r="F37" s="235">
        <f>168</f>
        <v>168</v>
      </c>
      <c r="G37" s="235"/>
      <c r="H37" s="231">
        <f t="shared" si="1"/>
        <v>1.6153846153846154</v>
      </c>
      <c r="I37" s="249"/>
      <c r="J37" s="254"/>
      <c r="K37" s="254"/>
      <c r="L37" s="254"/>
      <c r="M37" s="254"/>
      <c r="N37" s="254"/>
      <c r="O37" s="251"/>
      <c r="P37" s="252"/>
      <c r="T37" s="262"/>
      <c r="U37" s="207"/>
      <c r="V37" s="207"/>
      <c r="W37" s="207"/>
      <c r="X37" s="262"/>
      <c r="Y37" s="262"/>
      <c r="Z37" s="262"/>
      <c r="AA37" s="254">
        <f t="shared" si="9"/>
        <v>0</v>
      </c>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2"/>
      <c r="DM37" s="262"/>
      <c r="DN37" s="262"/>
      <c r="DO37" s="262"/>
      <c r="DP37" s="262"/>
      <c r="DQ37" s="262"/>
      <c r="DR37" s="262"/>
      <c r="DS37" s="262"/>
      <c r="DT37" s="262"/>
      <c r="DU37" s="262"/>
      <c r="DV37" s="262"/>
      <c r="DW37" s="262"/>
      <c r="DX37" s="262"/>
      <c r="DY37" s="262"/>
      <c r="DZ37" s="262"/>
      <c r="EA37" s="262"/>
      <c r="EB37" s="262"/>
      <c r="EC37" s="262"/>
      <c r="ED37" s="262"/>
      <c r="EE37" s="262"/>
      <c r="EF37" s="262"/>
      <c r="EG37" s="262"/>
      <c r="EH37" s="262"/>
      <c r="EI37" s="262"/>
      <c r="EJ37" s="262"/>
      <c r="EK37" s="262"/>
      <c r="EL37" s="262"/>
      <c r="EM37" s="262"/>
      <c r="EN37" s="262"/>
      <c r="EO37" s="262"/>
      <c r="EP37" s="262"/>
      <c r="EQ37" s="262"/>
      <c r="ER37" s="262"/>
      <c r="ES37" s="262"/>
      <c r="ET37" s="262"/>
      <c r="EU37" s="262"/>
      <c r="EV37" s="262"/>
      <c r="EW37" s="262"/>
      <c r="EX37" s="262"/>
      <c r="EY37" s="262"/>
      <c r="EZ37" s="262"/>
      <c r="FA37" s="262"/>
      <c r="FB37" s="262"/>
      <c r="FC37" s="262"/>
      <c r="FD37" s="262"/>
      <c r="FE37" s="262"/>
      <c r="FF37" s="262"/>
      <c r="FG37" s="262"/>
      <c r="FH37" s="262"/>
      <c r="FI37" s="262"/>
      <c r="FJ37" s="262"/>
      <c r="FK37" s="262"/>
      <c r="FL37" s="262"/>
      <c r="FM37" s="262"/>
      <c r="FN37" s="262"/>
      <c r="FO37" s="262"/>
      <c r="FP37" s="262"/>
      <c r="FQ37" s="262"/>
      <c r="FR37" s="262"/>
      <c r="FS37" s="262"/>
      <c r="FT37" s="262"/>
      <c r="FU37" s="262"/>
      <c r="FV37" s="262"/>
      <c r="FW37" s="262"/>
      <c r="FX37" s="262"/>
      <c r="FY37" s="262"/>
      <c r="FZ37" s="262"/>
      <c r="GA37" s="262"/>
      <c r="GB37" s="262"/>
      <c r="GC37" s="262"/>
      <c r="GD37" s="262"/>
      <c r="GE37" s="262"/>
      <c r="GF37" s="262"/>
      <c r="GG37" s="262"/>
      <c r="GH37" s="262"/>
      <c r="GI37" s="262"/>
      <c r="GJ37" s="262"/>
      <c r="GK37" s="262"/>
      <c r="GL37" s="262"/>
      <c r="GM37" s="262"/>
      <c r="GN37" s="262"/>
      <c r="GO37" s="262"/>
      <c r="GP37" s="262"/>
      <c r="GQ37" s="262"/>
      <c r="GR37" s="262"/>
      <c r="GS37" s="262"/>
      <c r="GT37" s="262"/>
      <c r="GU37" s="262"/>
      <c r="GV37" s="262"/>
      <c r="GW37" s="262"/>
      <c r="GX37" s="262"/>
      <c r="GY37" s="262"/>
      <c r="GZ37" s="262"/>
      <c r="HA37" s="262"/>
      <c r="HB37" s="262"/>
      <c r="HC37" s="262"/>
      <c r="HD37" s="262"/>
      <c r="HE37" s="262"/>
      <c r="HF37" s="262"/>
      <c r="HG37" s="262"/>
      <c r="HH37" s="262"/>
      <c r="HI37" s="262"/>
      <c r="HJ37" s="262"/>
      <c r="HK37" s="262"/>
      <c r="HL37" s="262"/>
      <c r="HM37" s="262"/>
      <c r="HN37" s="262"/>
      <c r="HO37" s="262"/>
      <c r="HP37" s="265"/>
      <c r="HQ37" s="265"/>
      <c r="HR37" s="265"/>
      <c r="HS37" s="265"/>
      <c r="HT37" s="265"/>
      <c r="HU37" s="265"/>
      <c r="HV37" s="265"/>
      <c r="HW37" s="265"/>
      <c r="HX37" s="265"/>
      <c r="HY37" s="265"/>
      <c r="HZ37" s="265"/>
      <c r="IA37" s="265"/>
      <c r="IB37" s="265"/>
      <c r="IC37" s="265"/>
      <c r="ID37" s="265"/>
      <c r="IE37" s="265"/>
      <c r="IF37" s="265"/>
      <c r="IG37" s="265"/>
      <c r="IH37" s="265"/>
      <c r="II37" s="265"/>
      <c r="IJ37" s="265"/>
      <c r="IK37" s="265"/>
      <c r="IL37" s="265"/>
      <c r="IM37" s="265"/>
      <c r="IN37" s="265"/>
      <c r="IO37" s="265"/>
      <c r="IP37" s="265"/>
      <c r="IQ37" s="265"/>
      <c r="IR37" s="265"/>
    </row>
    <row r="38" spans="1:27" s="206" customFormat="1" ht="24" customHeight="1">
      <c r="A38" s="234" t="s">
        <v>296</v>
      </c>
      <c r="B38" s="235">
        <f aca="true" t="shared" si="10" ref="B38:G38">SUM(B39)</f>
        <v>270</v>
      </c>
      <c r="C38" s="235">
        <f t="shared" si="10"/>
        <v>270</v>
      </c>
      <c r="D38" s="235">
        <f t="shared" si="10"/>
        <v>0</v>
      </c>
      <c r="E38" s="235">
        <f t="shared" si="10"/>
        <v>308</v>
      </c>
      <c r="F38" s="235">
        <f t="shared" si="10"/>
        <v>308</v>
      </c>
      <c r="G38" s="235">
        <f t="shared" si="10"/>
        <v>0</v>
      </c>
      <c r="H38" s="231">
        <f t="shared" si="1"/>
        <v>1.1407407407407408</v>
      </c>
      <c r="I38" s="249"/>
      <c r="J38" s="250"/>
      <c r="O38" s="251"/>
      <c r="P38" s="252"/>
      <c r="U38" s="207"/>
      <c r="V38" s="207"/>
      <c r="W38" s="207"/>
      <c r="AA38" s="254">
        <f t="shared" si="9"/>
        <v>0</v>
      </c>
    </row>
    <row r="39" spans="1:27" s="206" customFormat="1" ht="36.75" customHeight="1">
      <c r="A39" s="234" t="s">
        <v>297</v>
      </c>
      <c r="B39" s="235">
        <v>270</v>
      </c>
      <c r="C39" s="235">
        <f>270</f>
        <v>270</v>
      </c>
      <c r="D39" s="235"/>
      <c r="E39" s="235">
        <v>308</v>
      </c>
      <c r="F39" s="235">
        <f>150+158</f>
        <v>308</v>
      </c>
      <c r="G39" s="235"/>
      <c r="H39" s="231">
        <f t="shared" si="1"/>
        <v>1.1407407407407408</v>
      </c>
      <c r="I39" s="249"/>
      <c r="O39" s="251"/>
      <c r="P39" s="252"/>
      <c r="U39" s="207"/>
      <c r="V39" s="207"/>
      <c r="W39" s="207"/>
      <c r="AA39" s="254">
        <f t="shared" si="9"/>
        <v>0</v>
      </c>
    </row>
    <row r="40" spans="1:27" s="207" customFormat="1" ht="24" customHeight="1">
      <c r="A40" s="234" t="s">
        <v>298</v>
      </c>
      <c r="B40" s="235">
        <f aca="true" t="shared" si="11" ref="B40:G40">SUM(B41:B42)</f>
        <v>170</v>
      </c>
      <c r="C40" s="235">
        <f t="shared" si="11"/>
        <v>170</v>
      </c>
      <c r="D40" s="235">
        <f t="shared" si="11"/>
        <v>0</v>
      </c>
      <c r="E40" s="235">
        <f t="shared" si="11"/>
        <v>134</v>
      </c>
      <c r="F40" s="235">
        <f t="shared" si="11"/>
        <v>134</v>
      </c>
      <c r="G40" s="235">
        <f t="shared" si="11"/>
        <v>0</v>
      </c>
      <c r="H40" s="231">
        <f t="shared" si="1"/>
        <v>0.788235294117647</v>
      </c>
      <c r="I40" s="249"/>
      <c r="J40" s="250"/>
      <c r="O40" s="251"/>
      <c r="P40" s="252"/>
      <c r="Q40" s="206"/>
      <c r="R40" s="206"/>
      <c r="AA40" s="254">
        <f t="shared" si="9"/>
        <v>0</v>
      </c>
    </row>
    <row r="41" spans="1:27" s="206" customFormat="1" ht="24" customHeight="1">
      <c r="A41" s="234" t="s">
        <v>299</v>
      </c>
      <c r="B41" s="235">
        <v>170</v>
      </c>
      <c r="C41" s="235">
        <v>170</v>
      </c>
      <c r="D41" s="235"/>
      <c r="E41" s="235">
        <v>134</v>
      </c>
      <c r="F41" s="235">
        <f>119+15</f>
        <v>134</v>
      </c>
      <c r="G41" s="235"/>
      <c r="H41" s="231">
        <f t="shared" si="1"/>
        <v>0.788235294117647</v>
      </c>
      <c r="I41" s="249"/>
      <c r="O41" s="251"/>
      <c r="P41" s="252"/>
      <c r="U41" s="207"/>
      <c r="V41" s="207"/>
      <c r="W41" s="207"/>
      <c r="AA41" s="254">
        <f t="shared" si="9"/>
        <v>0</v>
      </c>
    </row>
    <row r="42" spans="1:27" s="206" customFormat="1" ht="24" customHeight="1">
      <c r="A42" s="234" t="s">
        <v>300</v>
      </c>
      <c r="B42" s="235"/>
      <c r="C42" s="235"/>
      <c r="D42" s="235"/>
      <c r="E42" s="235"/>
      <c r="F42" s="235"/>
      <c r="G42" s="235"/>
      <c r="H42" s="231" t="e">
        <f t="shared" si="1"/>
        <v>#DIV/0!</v>
      </c>
      <c r="I42" s="249"/>
      <c r="O42" s="251"/>
      <c r="P42" s="252"/>
      <c r="U42" s="207"/>
      <c r="V42" s="207"/>
      <c r="W42" s="207"/>
      <c r="AA42" s="254">
        <f t="shared" si="9"/>
        <v>0</v>
      </c>
    </row>
    <row r="43" spans="1:252" s="206" customFormat="1" ht="24" customHeight="1">
      <c r="A43" s="234" t="s">
        <v>301</v>
      </c>
      <c r="B43" s="235">
        <f aca="true" t="shared" si="12" ref="B43:G43">SUM(B44:B45)</f>
        <v>141</v>
      </c>
      <c r="C43" s="235">
        <f t="shared" si="12"/>
        <v>141</v>
      </c>
      <c r="D43" s="235">
        <f t="shared" si="12"/>
        <v>0</v>
      </c>
      <c r="E43" s="235">
        <f t="shared" si="12"/>
        <v>0</v>
      </c>
      <c r="F43" s="235">
        <f t="shared" si="12"/>
        <v>0</v>
      </c>
      <c r="G43" s="235">
        <f t="shared" si="12"/>
        <v>0</v>
      </c>
      <c r="H43" s="231">
        <f t="shared" si="1"/>
        <v>0</v>
      </c>
      <c r="I43" s="249"/>
      <c r="J43" s="250"/>
      <c r="K43" s="254"/>
      <c r="L43" s="254"/>
      <c r="M43" s="254"/>
      <c r="N43" s="254"/>
      <c r="O43" s="251"/>
      <c r="P43" s="234"/>
      <c r="T43" s="262"/>
      <c r="U43" s="207"/>
      <c r="V43" s="207"/>
      <c r="W43" s="207"/>
      <c r="X43" s="262"/>
      <c r="Y43" s="262"/>
      <c r="Z43" s="262"/>
      <c r="AA43" s="254">
        <f t="shared" si="9"/>
        <v>0</v>
      </c>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c r="EI43" s="262"/>
      <c r="EJ43" s="262"/>
      <c r="EK43" s="262"/>
      <c r="EL43" s="262"/>
      <c r="EM43" s="262"/>
      <c r="EN43" s="262"/>
      <c r="EO43" s="262"/>
      <c r="EP43" s="262"/>
      <c r="EQ43" s="262"/>
      <c r="ER43" s="262"/>
      <c r="ES43" s="262"/>
      <c r="ET43" s="262"/>
      <c r="EU43" s="262"/>
      <c r="EV43" s="262"/>
      <c r="EW43" s="262"/>
      <c r="EX43" s="262"/>
      <c r="EY43" s="262"/>
      <c r="EZ43" s="262"/>
      <c r="FA43" s="262"/>
      <c r="FB43" s="262"/>
      <c r="FC43" s="262"/>
      <c r="FD43" s="262"/>
      <c r="FE43" s="262"/>
      <c r="FF43" s="262"/>
      <c r="FG43" s="262"/>
      <c r="FH43" s="262"/>
      <c r="FI43" s="262"/>
      <c r="FJ43" s="262"/>
      <c r="FK43" s="262"/>
      <c r="FL43" s="262"/>
      <c r="FM43" s="262"/>
      <c r="FN43" s="262"/>
      <c r="FO43" s="262"/>
      <c r="FP43" s="262"/>
      <c r="FQ43" s="262"/>
      <c r="FR43" s="262"/>
      <c r="FS43" s="262"/>
      <c r="FT43" s="262"/>
      <c r="FU43" s="262"/>
      <c r="FV43" s="262"/>
      <c r="FW43" s="262"/>
      <c r="FX43" s="262"/>
      <c r="FY43" s="262"/>
      <c r="FZ43" s="262"/>
      <c r="GA43" s="262"/>
      <c r="GB43" s="262"/>
      <c r="GC43" s="262"/>
      <c r="GD43" s="262"/>
      <c r="GE43" s="262"/>
      <c r="GF43" s="262"/>
      <c r="GG43" s="262"/>
      <c r="GH43" s="262"/>
      <c r="GI43" s="262"/>
      <c r="GJ43" s="262"/>
      <c r="GK43" s="262"/>
      <c r="GL43" s="262"/>
      <c r="GM43" s="262"/>
      <c r="GN43" s="262"/>
      <c r="GO43" s="262"/>
      <c r="GP43" s="262"/>
      <c r="GQ43" s="262"/>
      <c r="GR43" s="262"/>
      <c r="GS43" s="262"/>
      <c r="GT43" s="262"/>
      <c r="GU43" s="262"/>
      <c r="GV43" s="262"/>
      <c r="GW43" s="262"/>
      <c r="GX43" s="262"/>
      <c r="GY43" s="262"/>
      <c r="GZ43" s="262"/>
      <c r="HA43" s="262"/>
      <c r="HB43" s="262"/>
      <c r="HC43" s="262"/>
      <c r="HD43" s="262"/>
      <c r="HE43" s="262"/>
      <c r="HF43" s="262"/>
      <c r="HG43" s="262"/>
      <c r="HH43" s="262"/>
      <c r="HI43" s="262"/>
      <c r="HJ43" s="262"/>
      <c r="HK43" s="262"/>
      <c r="HL43" s="262"/>
      <c r="HM43" s="262"/>
      <c r="HN43" s="262"/>
      <c r="HO43" s="262"/>
      <c r="HP43" s="265"/>
      <c r="HQ43" s="265"/>
      <c r="HR43" s="265"/>
      <c r="HS43" s="265"/>
      <c r="HT43" s="265"/>
      <c r="HU43" s="265"/>
      <c r="HV43" s="265"/>
      <c r="HW43" s="265"/>
      <c r="HX43" s="265"/>
      <c r="HY43" s="265"/>
      <c r="HZ43" s="265"/>
      <c r="IA43" s="265"/>
      <c r="IB43" s="265"/>
      <c r="IC43" s="265"/>
      <c r="ID43" s="265"/>
      <c r="IE43" s="265"/>
      <c r="IF43" s="265"/>
      <c r="IG43" s="265"/>
      <c r="IH43" s="265"/>
      <c r="II43" s="265"/>
      <c r="IJ43" s="265"/>
      <c r="IK43" s="265"/>
      <c r="IL43" s="265"/>
      <c r="IM43" s="265"/>
      <c r="IN43" s="265"/>
      <c r="IO43" s="265"/>
      <c r="IP43" s="265"/>
      <c r="IQ43" s="265"/>
      <c r="IR43" s="265"/>
    </row>
    <row r="44" spans="1:252" s="206" customFormat="1" ht="24" customHeight="1">
      <c r="A44" s="234" t="s">
        <v>302</v>
      </c>
      <c r="B44" s="235"/>
      <c r="C44" s="235"/>
      <c r="D44" s="235"/>
      <c r="E44" s="235"/>
      <c r="F44" s="235"/>
      <c r="G44" s="235"/>
      <c r="H44" s="231" t="e">
        <f t="shared" si="1"/>
        <v>#DIV/0!</v>
      </c>
      <c r="I44" s="255"/>
      <c r="J44" s="254"/>
      <c r="K44" s="254"/>
      <c r="L44" s="254"/>
      <c r="M44" s="254"/>
      <c r="N44" s="254"/>
      <c r="O44" s="251"/>
      <c r="P44" s="252"/>
      <c r="Q44" s="207"/>
      <c r="R44" s="207"/>
      <c r="T44" s="262"/>
      <c r="U44" s="207"/>
      <c r="V44" s="207"/>
      <c r="W44" s="207"/>
      <c r="X44" s="262"/>
      <c r="Y44" s="262"/>
      <c r="Z44" s="262"/>
      <c r="AA44" s="254">
        <f t="shared" si="9"/>
        <v>0</v>
      </c>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2"/>
      <c r="DM44" s="262"/>
      <c r="DN44" s="262"/>
      <c r="DO44" s="262"/>
      <c r="DP44" s="262"/>
      <c r="DQ44" s="262"/>
      <c r="DR44" s="262"/>
      <c r="DS44" s="262"/>
      <c r="DT44" s="262"/>
      <c r="DU44" s="262"/>
      <c r="DV44" s="262"/>
      <c r="DW44" s="262"/>
      <c r="DX44" s="262"/>
      <c r="DY44" s="262"/>
      <c r="DZ44" s="262"/>
      <c r="EA44" s="262"/>
      <c r="EB44" s="262"/>
      <c r="EC44" s="262"/>
      <c r="ED44" s="262"/>
      <c r="EE44" s="262"/>
      <c r="EF44" s="262"/>
      <c r="EG44" s="262"/>
      <c r="EH44" s="262"/>
      <c r="EI44" s="262"/>
      <c r="EJ44" s="262"/>
      <c r="EK44" s="262"/>
      <c r="EL44" s="262"/>
      <c r="EM44" s="262"/>
      <c r="EN44" s="262"/>
      <c r="EO44" s="262"/>
      <c r="EP44" s="262"/>
      <c r="EQ44" s="262"/>
      <c r="ER44" s="262"/>
      <c r="ES44" s="262"/>
      <c r="ET44" s="262"/>
      <c r="EU44" s="262"/>
      <c r="EV44" s="262"/>
      <c r="EW44" s="262"/>
      <c r="EX44" s="262"/>
      <c r="EY44" s="262"/>
      <c r="EZ44" s="262"/>
      <c r="FA44" s="262"/>
      <c r="FB44" s="262"/>
      <c r="FC44" s="262"/>
      <c r="FD44" s="262"/>
      <c r="FE44" s="262"/>
      <c r="FF44" s="262"/>
      <c r="FG44" s="262"/>
      <c r="FH44" s="262"/>
      <c r="FI44" s="262"/>
      <c r="FJ44" s="262"/>
      <c r="FK44" s="262"/>
      <c r="FL44" s="262"/>
      <c r="FM44" s="262"/>
      <c r="FN44" s="262"/>
      <c r="FO44" s="262"/>
      <c r="FP44" s="262"/>
      <c r="FQ44" s="262"/>
      <c r="FR44" s="262"/>
      <c r="FS44" s="262"/>
      <c r="FT44" s="262"/>
      <c r="FU44" s="262"/>
      <c r="FV44" s="262"/>
      <c r="FW44" s="262"/>
      <c r="FX44" s="262"/>
      <c r="FY44" s="262"/>
      <c r="FZ44" s="262"/>
      <c r="GA44" s="262"/>
      <c r="GB44" s="262"/>
      <c r="GC44" s="262"/>
      <c r="GD44" s="262"/>
      <c r="GE44" s="262"/>
      <c r="GF44" s="262"/>
      <c r="GG44" s="262"/>
      <c r="GH44" s="262"/>
      <c r="GI44" s="262"/>
      <c r="GJ44" s="262"/>
      <c r="GK44" s="262"/>
      <c r="GL44" s="262"/>
      <c r="GM44" s="262"/>
      <c r="GN44" s="262"/>
      <c r="GO44" s="262"/>
      <c r="GP44" s="262"/>
      <c r="GQ44" s="262"/>
      <c r="GR44" s="262"/>
      <c r="GS44" s="262"/>
      <c r="GT44" s="262"/>
      <c r="GU44" s="262"/>
      <c r="GV44" s="262"/>
      <c r="GW44" s="262"/>
      <c r="GX44" s="262"/>
      <c r="GY44" s="262"/>
      <c r="GZ44" s="262"/>
      <c r="HA44" s="262"/>
      <c r="HB44" s="262"/>
      <c r="HC44" s="262"/>
      <c r="HD44" s="262"/>
      <c r="HE44" s="262"/>
      <c r="HF44" s="262"/>
      <c r="HG44" s="262"/>
      <c r="HH44" s="262"/>
      <c r="HI44" s="262"/>
      <c r="HJ44" s="262"/>
      <c r="HK44" s="262"/>
      <c r="HL44" s="262"/>
      <c r="HM44" s="262"/>
      <c r="HN44" s="262"/>
      <c r="HO44" s="262"/>
      <c r="HP44" s="265"/>
      <c r="HQ44" s="265"/>
      <c r="HR44" s="265"/>
      <c r="HS44" s="265"/>
      <c r="HT44" s="265"/>
      <c r="HU44" s="265"/>
      <c r="HV44" s="265"/>
      <c r="HW44" s="265"/>
      <c r="HX44" s="265"/>
      <c r="HY44" s="265"/>
      <c r="HZ44" s="265"/>
      <c r="IA44" s="265"/>
      <c r="IB44" s="265"/>
      <c r="IC44" s="265"/>
      <c r="ID44" s="265"/>
      <c r="IE44" s="265"/>
      <c r="IF44" s="265"/>
      <c r="IG44" s="265"/>
      <c r="IH44" s="265"/>
      <c r="II44" s="265"/>
      <c r="IJ44" s="265"/>
      <c r="IK44" s="265"/>
      <c r="IL44" s="265"/>
      <c r="IM44" s="265"/>
      <c r="IN44" s="265"/>
      <c r="IO44" s="265"/>
      <c r="IP44" s="265"/>
      <c r="IQ44" s="265"/>
      <c r="IR44" s="265"/>
    </row>
    <row r="45" spans="1:27" s="206" customFormat="1" ht="24" customHeight="1">
      <c r="A45" s="234" t="s">
        <v>303</v>
      </c>
      <c r="B45" s="235">
        <v>141</v>
      </c>
      <c r="C45" s="235">
        <v>141</v>
      </c>
      <c r="D45" s="235"/>
      <c r="E45" s="235">
        <v>0</v>
      </c>
      <c r="F45" s="235"/>
      <c r="G45" s="235"/>
      <c r="H45" s="231">
        <f t="shared" si="1"/>
        <v>0</v>
      </c>
      <c r="I45" s="249"/>
      <c r="O45" s="251"/>
      <c r="P45" s="252"/>
      <c r="U45" s="207"/>
      <c r="V45" s="207"/>
      <c r="W45" s="207"/>
      <c r="AA45" s="254">
        <f t="shared" si="9"/>
        <v>0</v>
      </c>
    </row>
    <row r="46" spans="1:27" s="206" customFormat="1" ht="24" customHeight="1">
      <c r="A46" s="234" t="s">
        <v>304</v>
      </c>
      <c r="B46" s="235">
        <f aca="true" t="shared" si="13" ref="B46:G46">SUM(B47)</f>
        <v>711</v>
      </c>
      <c r="C46" s="235">
        <f t="shared" si="13"/>
        <v>711</v>
      </c>
      <c r="D46" s="235">
        <f t="shared" si="13"/>
        <v>0</v>
      </c>
      <c r="E46" s="235">
        <f t="shared" si="13"/>
        <v>856</v>
      </c>
      <c r="F46" s="235">
        <f t="shared" si="13"/>
        <v>856</v>
      </c>
      <c r="G46" s="235">
        <f t="shared" si="13"/>
        <v>0</v>
      </c>
      <c r="H46" s="231">
        <f t="shared" si="1"/>
        <v>1.2039381153305204</v>
      </c>
      <c r="I46" s="249"/>
      <c r="J46" s="250"/>
      <c r="O46" s="251"/>
      <c r="P46" s="252"/>
      <c r="U46" s="207"/>
      <c r="V46" s="207"/>
      <c r="W46" s="207"/>
      <c r="AA46" s="254">
        <f t="shared" si="9"/>
        <v>0</v>
      </c>
    </row>
    <row r="47" spans="1:27" s="206" customFormat="1" ht="24" customHeight="1">
      <c r="A47" s="234" t="s">
        <v>305</v>
      </c>
      <c r="B47" s="235">
        <v>711</v>
      </c>
      <c r="C47" s="235">
        <v>711</v>
      </c>
      <c r="D47" s="235"/>
      <c r="E47" s="235">
        <v>856</v>
      </c>
      <c r="F47" s="235">
        <f>558+298</f>
        <v>856</v>
      </c>
      <c r="G47" s="235"/>
      <c r="H47" s="231">
        <f t="shared" si="1"/>
        <v>1.2039381153305204</v>
      </c>
      <c r="I47" s="249"/>
      <c r="O47" s="251"/>
      <c r="P47" s="252"/>
      <c r="U47" s="207"/>
      <c r="V47" s="207"/>
      <c r="W47" s="207"/>
      <c r="AA47" s="254">
        <f t="shared" si="9"/>
        <v>0</v>
      </c>
    </row>
    <row r="48" spans="1:27" s="207" customFormat="1" ht="24" customHeight="1">
      <c r="A48" s="234" t="s">
        <v>306</v>
      </c>
      <c r="B48" s="235">
        <f aca="true" t="shared" si="14" ref="B48:G48">SUM(B49:B50)</f>
        <v>384</v>
      </c>
      <c r="C48" s="235">
        <f t="shared" si="14"/>
        <v>384</v>
      </c>
      <c r="D48" s="235">
        <f t="shared" si="14"/>
        <v>0</v>
      </c>
      <c r="E48" s="235">
        <f t="shared" si="14"/>
        <v>190</v>
      </c>
      <c r="F48" s="235">
        <f t="shared" si="14"/>
        <v>190</v>
      </c>
      <c r="G48" s="235">
        <f t="shared" si="14"/>
        <v>0</v>
      </c>
      <c r="H48" s="231">
        <f t="shared" si="1"/>
        <v>0.4947916666666667</v>
      </c>
      <c r="I48" s="249"/>
      <c r="J48" s="250"/>
      <c r="O48" s="251"/>
      <c r="P48" s="252"/>
      <c r="Q48" s="206"/>
      <c r="R48" s="206"/>
      <c r="AA48" s="254">
        <f t="shared" si="9"/>
        <v>0</v>
      </c>
    </row>
    <row r="49" spans="1:27" s="207" customFormat="1" ht="24" customHeight="1">
      <c r="A49" s="234" t="s">
        <v>307</v>
      </c>
      <c r="B49" s="235">
        <v>384</v>
      </c>
      <c r="C49" s="235">
        <v>384</v>
      </c>
      <c r="D49" s="235"/>
      <c r="E49" s="235">
        <v>190</v>
      </c>
      <c r="F49" s="235">
        <f>172+18</f>
        <v>190</v>
      </c>
      <c r="G49" s="235"/>
      <c r="H49" s="231">
        <f t="shared" si="1"/>
        <v>0.4947916666666667</v>
      </c>
      <c r="I49" s="249"/>
      <c r="O49" s="251"/>
      <c r="P49" s="252"/>
      <c r="Q49" s="206"/>
      <c r="R49" s="206"/>
      <c r="AA49" s="254">
        <f t="shared" si="9"/>
        <v>0</v>
      </c>
    </row>
    <row r="50" spans="1:252" s="206" customFormat="1" ht="24" customHeight="1">
      <c r="A50" s="234" t="s">
        <v>308</v>
      </c>
      <c r="B50" s="235"/>
      <c r="C50" s="235"/>
      <c r="D50" s="235"/>
      <c r="E50" s="235"/>
      <c r="F50" s="235"/>
      <c r="G50" s="235"/>
      <c r="H50" s="231" t="e">
        <f t="shared" si="1"/>
        <v>#DIV/0!</v>
      </c>
      <c r="I50" s="249"/>
      <c r="J50" s="254"/>
      <c r="K50" s="254"/>
      <c r="L50" s="254"/>
      <c r="M50" s="254"/>
      <c r="N50" s="254"/>
      <c r="O50" s="251"/>
      <c r="P50" s="252"/>
      <c r="Q50" s="207"/>
      <c r="R50" s="207"/>
      <c r="T50" s="262"/>
      <c r="U50" s="207"/>
      <c r="V50" s="207"/>
      <c r="W50" s="207"/>
      <c r="X50" s="262"/>
      <c r="Y50" s="262"/>
      <c r="Z50" s="262"/>
      <c r="AA50" s="254">
        <f t="shared" si="9"/>
        <v>0</v>
      </c>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c r="DF50" s="262"/>
      <c r="DG50" s="262"/>
      <c r="DH50" s="262"/>
      <c r="DI50" s="262"/>
      <c r="DJ50" s="262"/>
      <c r="DK50" s="262"/>
      <c r="DL50" s="262"/>
      <c r="DM50" s="262"/>
      <c r="DN50" s="262"/>
      <c r="DO50" s="262"/>
      <c r="DP50" s="262"/>
      <c r="DQ50" s="262"/>
      <c r="DR50" s="262"/>
      <c r="DS50" s="262"/>
      <c r="DT50" s="262"/>
      <c r="DU50" s="262"/>
      <c r="DV50" s="262"/>
      <c r="DW50" s="262"/>
      <c r="DX50" s="262"/>
      <c r="DY50" s="262"/>
      <c r="DZ50" s="262"/>
      <c r="EA50" s="262"/>
      <c r="EB50" s="262"/>
      <c r="EC50" s="262"/>
      <c r="ED50" s="262"/>
      <c r="EE50" s="262"/>
      <c r="EF50" s="262"/>
      <c r="EG50" s="262"/>
      <c r="EH50" s="262"/>
      <c r="EI50" s="262"/>
      <c r="EJ50" s="262"/>
      <c r="EK50" s="262"/>
      <c r="EL50" s="262"/>
      <c r="EM50" s="262"/>
      <c r="EN50" s="262"/>
      <c r="EO50" s="262"/>
      <c r="EP50" s="262"/>
      <c r="EQ50" s="262"/>
      <c r="ER50" s="262"/>
      <c r="ES50" s="262"/>
      <c r="ET50" s="262"/>
      <c r="EU50" s="262"/>
      <c r="EV50" s="262"/>
      <c r="EW50" s="262"/>
      <c r="EX50" s="262"/>
      <c r="EY50" s="262"/>
      <c r="EZ50" s="262"/>
      <c r="FA50" s="262"/>
      <c r="FB50" s="262"/>
      <c r="FC50" s="262"/>
      <c r="FD50" s="262"/>
      <c r="FE50" s="262"/>
      <c r="FF50" s="262"/>
      <c r="FG50" s="262"/>
      <c r="FH50" s="262"/>
      <c r="FI50" s="262"/>
      <c r="FJ50" s="262"/>
      <c r="FK50" s="262"/>
      <c r="FL50" s="262"/>
      <c r="FM50" s="262"/>
      <c r="FN50" s="262"/>
      <c r="FO50" s="262"/>
      <c r="FP50" s="262"/>
      <c r="FQ50" s="262"/>
      <c r="FR50" s="262"/>
      <c r="FS50" s="262"/>
      <c r="FT50" s="262"/>
      <c r="FU50" s="262"/>
      <c r="FV50" s="262"/>
      <c r="FW50" s="262"/>
      <c r="FX50" s="262"/>
      <c r="FY50" s="262"/>
      <c r="FZ50" s="262"/>
      <c r="GA50" s="262"/>
      <c r="GB50" s="262"/>
      <c r="GC50" s="262"/>
      <c r="GD50" s="262"/>
      <c r="GE50" s="262"/>
      <c r="GF50" s="262"/>
      <c r="GG50" s="262"/>
      <c r="GH50" s="262"/>
      <c r="GI50" s="262"/>
      <c r="GJ50" s="262"/>
      <c r="GK50" s="262"/>
      <c r="GL50" s="262"/>
      <c r="GM50" s="262"/>
      <c r="GN50" s="262"/>
      <c r="GO50" s="262"/>
      <c r="GP50" s="262"/>
      <c r="GQ50" s="262"/>
      <c r="GR50" s="262"/>
      <c r="GS50" s="262"/>
      <c r="GT50" s="262"/>
      <c r="GU50" s="262"/>
      <c r="GV50" s="262"/>
      <c r="GW50" s="262"/>
      <c r="GX50" s="262"/>
      <c r="GY50" s="262"/>
      <c r="GZ50" s="262"/>
      <c r="HA50" s="262"/>
      <c r="HB50" s="262"/>
      <c r="HC50" s="262"/>
      <c r="HD50" s="262"/>
      <c r="HE50" s="262"/>
      <c r="HF50" s="262"/>
      <c r="HG50" s="262"/>
      <c r="HH50" s="262"/>
      <c r="HI50" s="262"/>
      <c r="HJ50" s="262"/>
      <c r="HK50" s="262"/>
      <c r="HL50" s="262"/>
      <c r="HM50" s="262"/>
      <c r="HN50" s="262"/>
      <c r="HO50" s="262"/>
      <c r="HP50" s="265"/>
      <c r="HQ50" s="265"/>
      <c r="HR50" s="265"/>
      <c r="HS50" s="265"/>
      <c r="HT50" s="265"/>
      <c r="HU50" s="265"/>
      <c r="HV50" s="265"/>
      <c r="HW50" s="265"/>
      <c r="HX50" s="265"/>
      <c r="HY50" s="265"/>
      <c r="HZ50" s="265"/>
      <c r="IA50" s="265"/>
      <c r="IB50" s="265"/>
      <c r="IC50" s="265"/>
      <c r="ID50" s="265"/>
      <c r="IE50" s="265"/>
      <c r="IF50" s="265"/>
      <c r="IG50" s="265"/>
      <c r="IH50" s="265"/>
      <c r="II50" s="265"/>
      <c r="IJ50" s="265"/>
      <c r="IK50" s="265"/>
      <c r="IL50" s="265"/>
      <c r="IM50" s="265"/>
      <c r="IN50" s="265"/>
      <c r="IO50" s="265"/>
      <c r="IP50" s="265"/>
      <c r="IQ50" s="265"/>
      <c r="IR50" s="265"/>
    </row>
    <row r="51" spans="1:27" s="206" customFormat="1" ht="24" customHeight="1">
      <c r="A51" s="234" t="s">
        <v>309</v>
      </c>
      <c r="B51" s="235">
        <f aca="true" t="shared" si="15" ref="B51:G51">SUM(B52:B54)</f>
        <v>0</v>
      </c>
      <c r="C51" s="235">
        <f t="shared" si="15"/>
        <v>0</v>
      </c>
      <c r="D51" s="235">
        <f t="shared" si="15"/>
        <v>0</v>
      </c>
      <c r="E51" s="235">
        <f t="shared" si="15"/>
        <v>0</v>
      </c>
      <c r="F51" s="235">
        <f t="shared" si="15"/>
        <v>0</v>
      </c>
      <c r="G51" s="235">
        <f t="shared" si="15"/>
        <v>0</v>
      </c>
      <c r="H51" s="231" t="e">
        <f t="shared" si="1"/>
        <v>#DIV/0!</v>
      </c>
      <c r="I51" s="249"/>
      <c r="J51" s="250"/>
      <c r="O51" s="251"/>
      <c r="P51" s="252"/>
      <c r="Q51" s="207"/>
      <c r="R51" s="207"/>
      <c r="U51" s="207"/>
      <c r="V51" s="207"/>
      <c r="W51" s="207"/>
      <c r="AA51" s="254">
        <f t="shared" si="9"/>
        <v>0</v>
      </c>
    </row>
    <row r="52" spans="1:27" s="206" customFormat="1" ht="24" customHeight="1">
      <c r="A52" s="234" t="s">
        <v>310</v>
      </c>
      <c r="B52" s="235"/>
      <c r="C52" s="235"/>
      <c r="D52" s="235"/>
      <c r="E52" s="235"/>
      <c r="F52" s="235"/>
      <c r="G52" s="235"/>
      <c r="H52" s="231" t="e">
        <f t="shared" si="1"/>
        <v>#DIV/0!</v>
      </c>
      <c r="I52" s="249"/>
      <c r="O52" s="251"/>
      <c r="P52" s="252"/>
      <c r="Q52" s="207"/>
      <c r="R52" s="207"/>
      <c r="U52" s="207"/>
      <c r="V52" s="207"/>
      <c r="W52" s="207"/>
      <c r="AA52" s="254">
        <f t="shared" si="9"/>
        <v>0</v>
      </c>
    </row>
    <row r="53" spans="1:27" s="206" customFormat="1" ht="24" customHeight="1">
      <c r="A53" s="234" t="s">
        <v>311</v>
      </c>
      <c r="B53" s="235"/>
      <c r="C53" s="235"/>
      <c r="D53" s="235"/>
      <c r="E53" s="235"/>
      <c r="F53" s="235"/>
      <c r="G53" s="235"/>
      <c r="H53" s="231" t="e">
        <f t="shared" si="1"/>
        <v>#DIV/0!</v>
      </c>
      <c r="I53" s="249"/>
      <c r="O53" s="251"/>
      <c r="P53" s="252"/>
      <c r="U53" s="207"/>
      <c r="V53" s="207"/>
      <c r="W53" s="207"/>
      <c r="AA53" s="254">
        <f t="shared" si="9"/>
        <v>0</v>
      </c>
    </row>
    <row r="54" spans="1:27" s="206" customFormat="1" ht="24" customHeight="1">
      <c r="A54" s="234" t="s">
        <v>312</v>
      </c>
      <c r="B54" s="235"/>
      <c r="C54" s="235"/>
      <c r="D54" s="235"/>
      <c r="E54" s="235"/>
      <c r="F54" s="235"/>
      <c r="G54" s="235"/>
      <c r="H54" s="231" t="e">
        <f t="shared" si="1"/>
        <v>#DIV/0!</v>
      </c>
      <c r="I54" s="249"/>
      <c r="O54" s="251"/>
      <c r="P54" s="234"/>
      <c r="Q54" s="262"/>
      <c r="R54" s="262"/>
      <c r="U54" s="207"/>
      <c r="V54" s="207"/>
      <c r="W54" s="207"/>
      <c r="AA54" s="254">
        <f t="shared" si="9"/>
        <v>0</v>
      </c>
    </row>
    <row r="55" spans="1:27" s="206" customFormat="1" ht="24" customHeight="1">
      <c r="A55" s="234" t="s">
        <v>313</v>
      </c>
      <c r="B55" s="235">
        <f aca="true" t="shared" si="16" ref="B55:G55">SUM(B56:B58)</f>
        <v>806</v>
      </c>
      <c r="C55" s="235">
        <f t="shared" si="16"/>
        <v>806</v>
      </c>
      <c r="D55" s="235">
        <f t="shared" si="16"/>
        <v>0</v>
      </c>
      <c r="E55" s="235">
        <f t="shared" si="16"/>
        <v>763</v>
      </c>
      <c r="F55" s="235">
        <f t="shared" si="16"/>
        <v>763</v>
      </c>
      <c r="G55" s="235">
        <f t="shared" si="16"/>
        <v>0</v>
      </c>
      <c r="H55" s="231">
        <f t="shared" si="1"/>
        <v>0.9466501240694789</v>
      </c>
      <c r="I55" s="249"/>
      <c r="J55" s="250"/>
      <c r="O55" s="251"/>
      <c r="P55" s="252"/>
      <c r="U55" s="207"/>
      <c r="V55" s="207"/>
      <c r="W55" s="207"/>
      <c r="AA55" s="254">
        <f t="shared" si="9"/>
        <v>0</v>
      </c>
    </row>
    <row r="56" spans="1:27" s="206" customFormat="1" ht="24" customHeight="1">
      <c r="A56" s="234" t="s">
        <v>314</v>
      </c>
      <c r="B56" s="235">
        <v>495</v>
      </c>
      <c r="C56" s="235">
        <v>495</v>
      </c>
      <c r="D56" s="235"/>
      <c r="E56" s="235">
        <v>359</v>
      </c>
      <c r="F56" s="235">
        <f>303+56</f>
        <v>359</v>
      </c>
      <c r="G56" s="235"/>
      <c r="H56" s="231">
        <f t="shared" si="1"/>
        <v>0.7252525252525253</v>
      </c>
      <c r="I56" s="249"/>
      <c r="O56" s="251"/>
      <c r="P56" s="252"/>
      <c r="U56" s="207"/>
      <c r="V56" s="207"/>
      <c r="W56" s="207"/>
      <c r="AA56" s="254">
        <f t="shared" si="9"/>
        <v>0</v>
      </c>
    </row>
    <row r="57" spans="1:27" s="207" customFormat="1" ht="24" customHeight="1">
      <c r="A57" s="234" t="s">
        <v>315</v>
      </c>
      <c r="B57" s="235">
        <v>311</v>
      </c>
      <c r="C57" s="235">
        <v>311</v>
      </c>
      <c r="D57" s="235"/>
      <c r="E57" s="235">
        <v>404</v>
      </c>
      <c r="F57" s="235">
        <v>404</v>
      </c>
      <c r="G57" s="235"/>
      <c r="H57" s="231">
        <f t="shared" si="1"/>
        <v>1.2990353697749195</v>
      </c>
      <c r="I57" s="249"/>
      <c r="O57" s="251"/>
      <c r="P57" s="252"/>
      <c r="Q57" s="206"/>
      <c r="R57" s="206"/>
      <c r="AA57" s="254">
        <f t="shared" si="9"/>
        <v>0</v>
      </c>
    </row>
    <row r="58" spans="1:27" s="207" customFormat="1" ht="30" customHeight="1">
      <c r="A58" s="234" t="s">
        <v>316</v>
      </c>
      <c r="B58" s="235"/>
      <c r="C58" s="235"/>
      <c r="D58" s="235"/>
      <c r="E58" s="235"/>
      <c r="F58" s="235"/>
      <c r="G58" s="235"/>
      <c r="H58" s="231" t="e">
        <f t="shared" si="1"/>
        <v>#DIV/0!</v>
      </c>
      <c r="I58" s="249"/>
      <c r="O58" s="251"/>
      <c r="AA58" s="254">
        <f t="shared" si="9"/>
        <v>0</v>
      </c>
    </row>
    <row r="59" spans="1:27" s="206" customFormat="1" ht="24" customHeight="1">
      <c r="A59" s="234" t="s">
        <v>317</v>
      </c>
      <c r="B59" s="235">
        <f aca="true" t="shared" si="17" ref="B59:G59">SUM(B60)</f>
        <v>12</v>
      </c>
      <c r="C59" s="235">
        <f t="shared" si="17"/>
        <v>12</v>
      </c>
      <c r="D59" s="235">
        <f t="shared" si="17"/>
        <v>0</v>
      </c>
      <c r="E59" s="235">
        <f t="shared" si="17"/>
        <v>21</v>
      </c>
      <c r="F59" s="235">
        <f t="shared" si="17"/>
        <v>21</v>
      </c>
      <c r="G59" s="235">
        <f t="shared" si="17"/>
        <v>0</v>
      </c>
      <c r="H59" s="231">
        <f t="shared" si="1"/>
        <v>1.75</v>
      </c>
      <c r="I59" s="249"/>
      <c r="J59" s="250"/>
      <c r="O59" s="251"/>
      <c r="P59" s="252"/>
      <c r="U59" s="207"/>
      <c r="V59" s="207"/>
      <c r="W59" s="207"/>
      <c r="AA59" s="254">
        <f t="shared" si="9"/>
        <v>0</v>
      </c>
    </row>
    <row r="60" spans="1:27" s="206" customFormat="1" ht="24" customHeight="1">
      <c r="A60" s="234" t="s">
        <v>318</v>
      </c>
      <c r="B60" s="235">
        <v>12</v>
      </c>
      <c r="C60" s="235">
        <f>9+3</f>
        <v>12</v>
      </c>
      <c r="D60" s="235"/>
      <c r="E60" s="235">
        <v>21</v>
      </c>
      <c r="F60" s="235">
        <f>18+3</f>
        <v>21</v>
      </c>
      <c r="G60" s="235"/>
      <c r="H60" s="231">
        <f t="shared" si="1"/>
        <v>1.75</v>
      </c>
      <c r="I60" s="249"/>
      <c r="O60" s="251"/>
      <c r="P60" s="252"/>
      <c r="U60" s="207"/>
      <c r="V60" s="207"/>
      <c r="W60" s="207"/>
      <c r="AA60" s="254">
        <f t="shared" si="9"/>
        <v>0</v>
      </c>
    </row>
    <row r="61" spans="1:27" s="206" customFormat="1" ht="24" customHeight="1">
      <c r="A61" s="234" t="s">
        <v>319</v>
      </c>
      <c r="B61" s="235">
        <f aca="true" t="shared" si="18" ref="B61:G61">SUM(B62:B63)</f>
        <v>0</v>
      </c>
      <c r="C61" s="235">
        <f t="shared" si="18"/>
        <v>0</v>
      </c>
      <c r="D61" s="235">
        <f t="shared" si="18"/>
        <v>0</v>
      </c>
      <c r="E61" s="235">
        <f t="shared" si="18"/>
        <v>0</v>
      </c>
      <c r="F61" s="235">
        <f t="shared" si="18"/>
        <v>0</v>
      </c>
      <c r="G61" s="235">
        <f t="shared" si="18"/>
        <v>0</v>
      </c>
      <c r="H61" s="231" t="e">
        <f t="shared" si="1"/>
        <v>#DIV/0!</v>
      </c>
      <c r="I61" s="249"/>
      <c r="J61" s="250"/>
      <c r="O61" s="251"/>
      <c r="P61" s="252"/>
      <c r="U61" s="207"/>
      <c r="V61" s="207"/>
      <c r="W61" s="207"/>
      <c r="AA61" s="254">
        <f t="shared" si="9"/>
        <v>0</v>
      </c>
    </row>
    <row r="62" spans="1:27" s="207" customFormat="1" ht="24" customHeight="1">
      <c r="A62" s="234" t="s">
        <v>320</v>
      </c>
      <c r="B62" s="235"/>
      <c r="C62" s="235"/>
      <c r="D62" s="235"/>
      <c r="E62" s="235"/>
      <c r="F62" s="235"/>
      <c r="G62" s="235"/>
      <c r="H62" s="231" t="e">
        <f t="shared" si="1"/>
        <v>#DIV/0!</v>
      </c>
      <c r="I62" s="249"/>
      <c r="O62" s="251"/>
      <c r="P62" s="252"/>
      <c r="Q62" s="206"/>
      <c r="R62" s="206"/>
      <c r="AA62" s="254">
        <f t="shared" si="9"/>
        <v>0</v>
      </c>
    </row>
    <row r="63" spans="1:27" s="206" customFormat="1" ht="24" customHeight="1">
      <c r="A63" s="234" t="s">
        <v>321</v>
      </c>
      <c r="B63" s="235"/>
      <c r="C63" s="235"/>
      <c r="D63" s="235"/>
      <c r="E63" s="235"/>
      <c r="F63" s="235"/>
      <c r="G63" s="235"/>
      <c r="H63" s="231" t="e">
        <f t="shared" si="1"/>
        <v>#DIV/0!</v>
      </c>
      <c r="I63" s="249"/>
      <c r="O63" s="251"/>
      <c r="P63" s="252"/>
      <c r="Q63" s="207"/>
      <c r="R63" s="207"/>
      <c r="U63" s="207"/>
      <c r="V63" s="207"/>
      <c r="W63" s="207"/>
      <c r="AA63" s="254">
        <f t="shared" si="9"/>
        <v>0</v>
      </c>
    </row>
    <row r="64" spans="1:27" s="206" customFormat="1" ht="24" customHeight="1">
      <c r="A64" s="234" t="s">
        <v>322</v>
      </c>
      <c r="B64" s="235">
        <f aca="true" t="shared" si="19" ref="B64:G64">SUM(B65)</f>
        <v>104</v>
      </c>
      <c r="C64" s="235">
        <f t="shared" si="19"/>
        <v>104</v>
      </c>
      <c r="D64" s="235">
        <f t="shared" si="19"/>
        <v>0</v>
      </c>
      <c r="E64" s="235">
        <f t="shared" si="19"/>
        <v>57</v>
      </c>
      <c r="F64" s="235">
        <f t="shared" si="19"/>
        <v>57</v>
      </c>
      <c r="G64" s="235">
        <f t="shared" si="19"/>
        <v>0</v>
      </c>
      <c r="H64" s="231">
        <f t="shared" si="1"/>
        <v>0.5480769230769231</v>
      </c>
      <c r="I64" s="249"/>
      <c r="J64" s="250"/>
      <c r="O64" s="251"/>
      <c r="P64" s="252"/>
      <c r="Q64" s="207"/>
      <c r="R64" s="207"/>
      <c r="U64" s="207"/>
      <c r="V64" s="207"/>
      <c r="W64" s="207"/>
      <c r="AA64" s="254">
        <f t="shared" si="9"/>
        <v>0</v>
      </c>
    </row>
    <row r="65" spans="1:27" s="206" customFormat="1" ht="24" customHeight="1">
      <c r="A65" s="234" t="s">
        <v>323</v>
      </c>
      <c r="B65" s="235">
        <v>104</v>
      </c>
      <c r="C65" s="235">
        <v>104</v>
      </c>
      <c r="D65" s="235"/>
      <c r="E65" s="235">
        <v>57</v>
      </c>
      <c r="F65" s="235">
        <f>49+8</f>
        <v>57</v>
      </c>
      <c r="G65" s="235"/>
      <c r="H65" s="231">
        <f t="shared" si="1"/>
        <v>0.5480769230769231</v>
      </c>
      <c r="I65" s="249"/>
      <c r="O65" s="251"/>
      <c r="P65" s="252"/>
      <c r="U65" s="207"/>
      <c r="V65" s="207"/>
      <c r="W65" s="207"/>
      <c r="AA65" s="254">
        <f t="shared" si="9"/>
        <v>0</v>
      </c>
    </row>
    <row r="66" spans="1:27" s="206" customFormat="1" ht="24" customHeight="1">
      <c r="A66" s="234" t="s">
        <v>324</v>
      </c>
      <c r="B66" s="235">
        <f aca="true" t="shared" si="20" ref="B66:G66">SUM(B67)</f>
        <v>81</v>
      </c>
      <c r="C66" s="235">
        <f t="shared" si="20"/>
        <v>81</v>
      </c>
      <c r="D66" s="235">
        <f t="shared" si="20"/>
        <v>0</v>
      </c>
      <c r="E66" s="235">
        <f t="shared" si="20"/>
        <v>63</v>
      </c>
      <c r="F66" s="235">
        <f t="shared" si="20"/>
        <v>63</v>
      </c>
      <c r="G66" s="235">
        <f t="shared" si="20"/>
        <v>0</v>
      </c>
      <c r="H66" s="231">
        <f t="shared" si="1"/>
        <v>0.7777777777777778</v>
      </c>
      <c r="I66" s="249"/>
      <c r="J66" s="250"/>
      <c r="O66" s="251"/>
      <c r="P66" s="252"/>
      <c r="U66" s="207"/>
      <c r="V66" s="207"/>
      <c r="W66" s="207"/>
      <c r="AA66" s="254">
        <f t="shared" si="9"/>
        <v>0</v>
      </c>
    </row>
    <row r="67" spans="1:27" s="206" customFormat="1" ht="27.75" customHeight="1">
      <c r="A67" s="234" t="s">
        <v>325</v>
      </c>
      <c r="B67" s="235">
        <v>81</v>
      </c>
      <c r="C67" s="235">
        <v>81</v>
      </c>
      <c r="D67" s="235"/>
      <c r="E67" s="235">
        <v>63</v>
      </c>
      <c r="F67" s="235">
        <f>60+3</f>
        <v>63</v>
      </c>
      <c r="G67" s="235"/>
      <c r="H67" s="231">
        <f t="shared" si="1"/>
        <v>0.7777777777777778</v>
      </c>
      <c r="I67" s="249"/>
      <c r="O67" s="251"/>
      <c r="P67" s="252"/>
      <c r="U67" s="207"/>
      <c r="V67" s="207"/>
      <c r="W67" s="207"/>
      <c r="AA67" s="254">
        <f t="shared" si="9"/>
        <v>0</v>
      </c>
    </row>
    <row r="68" spans="1:27" s="206" customFormat="1" ht="24" customHeight="1">
      <c r="A68" s="234" t="s">
        <v>326</v>
      </c>
      <c r="B68" s="235">
        <f aca="true" t="shared" si="21" ref="B68:G68">SUM(B69:B72)</f>
        <v>711</v>
      </c>
      <c r="C68" s="235">
        <f t="shared" si="21"/>
        <v>711</v>
      </c>
      <c r="D68" s="235">
        <f t="shared" si="21"/>
        <v>0</v>
      </c>
      <c r="E68" s="235">
        <f t="shared" si="21"/>
        <v>670</v>
      </c>
      <c r="F68" s="235">
        <f t="shared" si="21"/>
        <v>670</v>
      </c>
      <c r="G68" s="235">
        <f t="shared" si="21"/>
        <v>122</v>
      </c>
      <c r="H68" s="231">
        <f t="shared" si="1"/>
        <v>0.9423347398030942</v>
      </c>
      <c r="I68" s="249"/>
      <c r="J68" s="250"/>
      <c r="O68" s="251"/>
      <c r="P68" s="252"/>
      <c r="Q68" s="207"/>
      <c r="R68" s="207"/>
      <c r="U68" s="207"/>
      <c r="V68" s="207"/>
      <c r="W68" s="207"/>
      <c r="AA68" s="254">
        <f t="shared" si="9"/>
        <v>0</v>
      </c>
    </row>
    <row r="69" spans="1:27" s="206" customFormat="1" ht="24" customHeight="1">
      <c r="A69" s="234" t="s">
        <v>327</v>
      </c>
      <c r="B69" s="235">
        <v>711</v>
      </c>
      <c r="C69" s="235">
        <v>711</v>
      </c>
      <c r="D69" s="235"/>
      <c r="E69" s="235">
        <v>670</v>
      </c>
      <c r="F69" s="235">
        <f>127-60+591+5+5+2</f>
        <v>670</v>
      </c>
      <c r="G69" s="235"/>
      <c r="H69" s="231">
        <f aca="true" t="shared" si="22" ref="H69:H130">E69/B69</f>
        <v>0.9423347398030942</v>
      </c>
      <c r="I69" s="249"/>
      <c r="O69" s="251"/>
      <c r="P69" s="252"/>
      <c r="U69" s="207"/>
      <c r="V69" s="207"/>
      <c r="W69" s="207"/>
      <c r="AA69" s="254">
        <f t="shared" si="9"/>
        <v>0</v>
      </c>
    </row>
    <row r="70" spans="1:27" s="206" customFormat="1" ht="27.75" customHeight="1">
      <c r="A70" s="234" t="s">
        <v>328</v>
      </c>
      <c r="B70" s="235"/>
      <c r="C70" s="235"/>
      <c r="D70" s="235"/>
      <c r="E70" s="235"/>
      <c r="F70" s="235"/>
      <c r="G70" s="235">
        <v>6</v>
      </c>
      <c r="H70" s="231" t="e">
        <f t="shared" si="22"/>
        <v>#DIV/0!</v>
      </c>
      <c r="I70" s="249"/>
      <c r="O70" s="251"/>
      <c r="P70" s="252"/>
      <c r="U70" s="207"/>
      <c r="V70" s="207"/>
      <c r="W70" s="207"/>
      <c r="AA70" s="254">
        <f t="shared" si="9"/>
        <v>0</v>
      </c>
    </row>
    <row r="71" spans="1:27" s="206" customFormat="1" ht="24" customHeight="1">
      <c r="A71" s="234" t="s">
        <v>329</v>
      </c>
      <c r="B71" s="235"/>
      <c r="C71" s="235"/>
      <c r="D71" s="235"/>
      <c r="E71" s="235"/>
      <c r="F71" s="235"/>
      <c r="G71" s="235"/>
      <c r="H71" s="231" t="e">
        <f t="shared" si="22"/>
        <v>#DIV/0!</v>
      </c>
      <c r="I71" s="249"/>
      <c r="O71" s="251"/>
      <c r="P71" s="252"/>
      <c r="U71" s="207"/>
      <c r="V71" s="207"/>
      <c r="W71" s="207"/>
      <c r="AA71" s="254">
        <f t="shared" si="9"/>
        <v>0</v>
      </c>
    </row>
    <row r="72" spans="1:27" s="206" customFormat="1" ht="24" customHeight="1">
      <c r="A72" s="234" t="s">
        <v>330</v>
      </c>
      <c r="B72" s="235"/>
      <c r="C72" s="235"/>
      <c r="D72" s="235"/>
      <c r="E72" s="235"/>
      <c r="F72" s="235"/>
      <c r="G72" s="235">
        <v>116</v>
      </c>
      <c r="H72" s="231" t="e">
        <f t="shared" si="22"/>
        <v>#DIV/0!</v>
      </c>
      <c r="I72" s="249"/>
      <c r="O72" s="251"/>
      <c r="P72" s="252"/>
      <c r="U72" s="207"/>
      <c r="V72" s="207"/>
      <c r="W72" s="207"/>
      <c r="AA72" s="254">
        <f t="shared" si="9"/>
        <v>0</v>
      </c>
    </row>
    <row r="73" spans="1:27" s="206" customFormat="1" ht="28.5" customHeight="1">
      <c r="A73" s="234" t="s">
        <v>331</v>
      </c>
      <c r="B73" s="235">
        <f aca="true" t="shared" si="23" ref="B73:G73">SUM(B74:B76)</f>
        <v>445</v>
      </c>
      <c r="C73" s="235">
        <f t="shared" si="23"/>
        <v>445</v>
      </c>
      <c r="D73" s="235">
        <f t="shared" si="23"/>
        <v>0</v>
      </c>
      <c r="E73" s="235">
        <f t="shared" si="23"/>
        <v>286</v>
      </c>
      <c r="F73" s="235">
        <f t="shared" si="23"/>
        <v>286</v>
      </c>
      <c r="G73" s="235">
        <f t="shared" si="23"/>
        <v>0</v>
      </c>
      <c r="H73" s="231">
        <f t="shared" si="22"/>
        <v>0.6426966292134831</v>
      </c>
      <c r="I73" s="249"/>
      <c r="J73" s="250"/>
      <c r="O73" s="251"/>
      <c r="P73" s="252"/>
      <c r="U73" s="207"/>
      <c r="V73" s="207"/>
      <c r="W73" s="207"/>
      <c r="AA73" s="254">
        <f t="shared" si="9"/>
        <v>0</v>
      </c>
    </row>
    <row r="74" spans="1:27" s="206" customFormat="1" ht="24" customHeight="1">
      <c r="A74" s="234" t="s">
        <v>332</v>
      </c>
      <c r="B74" s="235">
        <v>300</v>
      </c>
      <c r="C74" s="235">
        <v>300</v>
      </c>
      <c r="D74" s="235"/>
      <c r="E74" s="235">
        <v>194</v>
      </c>
      <c r="F74" s="235">
        <f>118+46+30</f>
        <v>194</v>
      </c>
      <c r="G74" s="235"/>
      <c r="H74" s="231">
        <f t="shared" si="22"/>
        <v>0.6466666666666666</v>
      </c>
      <c r="I74" s="249"/>
      <c r="O74" s="251"/>
      <c r="P74" s="252"/>
      <c r="U74" s="207"/>
      <c r="V74" s="207"/>
      <c r="W74" s="207"/>
      <c r="AA74" s="254">
        <f t="shared" si="9"/>
        <v>0</v>
      </c>
    </row>
    <row r="75" spans="1:27" s="206" customFormat="1" ht="24" customHeight="1">
      <c r="A75" s="234" t="s">
        <v>333</v>
      </c>
      <c r="B75" s="235">
        <v>145</v>
      </c>
      <c r="C75" s="235">
        <f>72+73</f>
        <v>145</v>
      </c>
      <c r="D75" s="235"/>
      <c r="E75" s="235">
        <v>92</v>
      </c>
      <c r="F75" s="235">
        <v>92</v>
      </c>
      <c r="G75" s="235"/>
      <c r="H75" s="231">
        <f t="shared" si="22"/>
        <v>0.6344827586206897</v>
      </c>
      <c r="I75" s="249"/>
      <c r="O75" s="251"/>
      <c r="P75" s="234"/>
      <c r="Q75" s="262"/>
      <c r="R75" s="262"/>
      <c r="U75" s="207"/>
      <c r="V75" s="207"/>
      <c r="W75" s="207"/>
      <c r="AA75" s="254">
        <f t="shared" si="9"/>
        <v>0</v>
      </c>
    </row>
    <row r="76" spans="1:27" s="206" customFormat="1" ht="29.25" customHeight="1">
      <c r="A76" s="234" t="s">
        <v>334</v>
      </c>
      <c r="B76" s="235"/>
      <c r="C76" s="235"/>
      <c r="D76" s="235"/>
      <c r="E76" s="235"/>
      <c r="F76" s="235"/>
      <c r="G76" s="235"/>
      <c r="H76" s="231" t="e">
        <f t="shared" si="22"/>
        <v>#DIV/0!</v>
      </c>
      <c r="I76" s="249"/>
      <c r="O76" s="251"/>
      <c r="P76" s="252"/>
      <c r="U76" s="207"/>
      <c r="V76" s="207"/>
      <c r="W76" s="207"/>
      <c r="AA76" s="254">
        <f t="shared" si="9"/>
        <v>0</v>
      </c>
    </row>
    <row r="77" spans="1:27" s="206" customFormat="1" ht="24" customHeight="1">
      <c r="A77" s="234" t="s">
        <v>335</v>
      </c>
      <c r="B77" s="235">
        <f aca="true" t="shared" si="24" ref="B77:G77">SUM(B78:B79)</f>
        <v>282</v>
      </c>
      <c r="C77" s="235">
        <f t="shared" si="24"/>
        <v>282</v>
      </c>
      <c r="D77" s="235">
        <f t="shared" si="24"/>
        <v>8</v>
      </c>
      <c r="E77" s="235">
        <f t="shared" si="24"/>
        <v>317</v>
      </c>
      <c r="F77" s="235">
        <f t="shared" si="24"/>
        <v>317</v>
      </c>
      <c r="G77" s="235">
        <f t="shared" si="24"/>
        <v>11</v>
      </c>
      <c r="H77" s="231">
        <f t="shared" si="22"/>
        <v>1.124113475177305</v>
      </c>
      <c r="I77" s="249"/>
      <c r="J77" s="250"/>
      <c r="O77" s="251"/>
      <c r="P77" s="252"/>
      <c r="U77" s="207"/>
      <c r="V77" s="207"/>
      <c r="W77" s="207"/>
      <c r="AA77" s="254">
        <f t="shared" si="9"/>
        <v>0</v>
      </c>
    </row>
    <row r="78" spans="1:27" s="206" customFormat="1" ht="22.5" customHeight="1">
      <c r="A78" s="234" t="s">
        <v>336</v>
      </c>
      <c r="B78" s="235">
        <v>282</v>
      </c>
      <c r="C78" s="235">
        <v>282</v>
      </c>
      <c r="D78" s="235"/>
      <c r="E78" s="235">
        <v>317</v>
      </c>
      <c r="F78" s="235">
        <f>262+55</f>
        <v>317</v>
      </c>
      <c r="G78" s="235"/>
      <c r="H78" s="231">
        <f t="shared" si="22"/>
        <v>1.124113475177305</v>
      </c>
      <c r="I78" s="249"/>
      <c r="O78" s="251"/>
      <c r="P78" s="252"/>
      <c r="U78" s="207"/>
      <c r="V78" s="207"/>
      <c r="W78" s="207"/>
      <c r="AA78" s="254">
        <f t="shared" si="9"/>
        <v>0</v>
      </c>
    </row>
    <row r="79" spans="1:252" s="207" customFormat="1" ht="72" customHeight="1">
      <c r="A79" s="234" t="s">
        <v>337</v>
      </c>
      <c r="B79" s="235"/>
      <c r="C79" s="235"/>
      <c r="D79" s="235">
        <v>8</v>
      </c>
      <c r="E79" s="235"/>
      <c r="F79" s="235"/>
      <c r="G79" s="235">
        <v>11</v>
      </c>
      <c r="H79" s="231" t="e">
        <f t="shared" si="22"/>
        <v>#DIV/0!</v>
      </c>
      <c r="I79" s="266" t="s">
        <v>338</v>
      </c>
      <c r="J79" s="254"/>
      <c r="K79" s="254"/>
      <c r="L79" s="254"/>
      <c r="M79" s="254"/>
      <c r="N79" s="254"/>
      <c r="O79" s="251"/>
      <c r="P79" s="252"/>
      <c r="Q79" s="206"/>
      <c r="R79" s="206"/>
      <c r="X79" s="262"/>
      <c r="Y79" s="262"/>
      <c r="Z79" s="262"/>
      <c r="AA79" s="254">
        <f t="shared" si="9"/>
        <v>0</v>
      </c>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c r="DM79" s="262"/>
      <c r="DN79" s="262"/>
      <c r="DO79" s="262"/>
      <c r="DP79" s="262"/>
      <c r="DQ79" s="262"/>
      <c r="DR79" s="262"/>
      <c r="DS79" s="262"/>
      <c r="DT79" s="262"/>
      <c r="DU79" s="262"/>
      <c r="DV79" s="262"/>
      <c r="DW79" s="262"/>
      <c r="DX79" s="262"/>
      <c r="DY79" s="262"/>
      <c r="DZ79" s="262"/>
      <c r="EA79" s="262"/>
      <c r="EB79" s="262"/>
      <c r="EC79" s="262"/>
      <c r="ED79" s="262"/>
      <c r="EE79" s="262"/>
      <c r="EF79" s="262"/>
      <c r="EG79" s="262"/>
      <c r="EH79" s="262"/>
      <c r="EI79" s="262"/>
      <c r="EJ79" s="262"/>
      <c r="EK79" s="262"/>
      <c r="EL79" s="262"/>
      <c r="EM79" s="262"/>
      <c r="EN79" s="262"/>
      <c r="EO79" s="262"/>
      <c r="EP79" s="262"/>
      <c r="EQ79" s="262"/>
      <c r="ER79" s="262"/>
      <c r="ES79" s="262"/>
      <c r="ET79" s="262"/>
      <c r="EU79" s="262"/>
      <c r="EV79" s="262"/>
      <c r="EW79" s="262"/>
      <c r="EX79" s="262"/>
      <c r="EY79" s="262"/>
      <c r="EZ79" s="262"/>
      <c r="FA79" s="262"/>
      <c r="FB79" s="262"/>
      <c r="FC79" s="262"/>
      <c r="FD79" s="262"/>
      <c r="FE79" s="262"/>
      <c r="FF79" s="262"/>
      <c r="FG79" s="262"/>
      <c r="FH79" s="262"/>
      <c r="FI79" s="262"/>
      <c r="FJ79" s="262"/>
      <c r="FK79" s="262"/>
      <c r="FL79" s="262"/>
      <c r="FM79" s="262"/>
      <c r="FN79" s="262"/>
      <c r="FO79" s="262"/>
      <c r="FP79" s="262"/>
      <c r="FQ79" s="262"/>
      <c r="FR79" s="262"/>
      <c r="FS79" s="262"/>
      <c r="FT79" s="262"/>
      <c r="FU79" s="262"/>
      <c r="FV79" s="262"/>
      <c r="FW79" s="262"/>
      <c r="FX79" s="262"/>
      <c r="FY79" s="262"/>
      <c r="FZ79" s="262"/>
      <c r="GA79" s="262"/>
      <c r="GB79" s="262"/>
      <c r="GC79" s="262"/>
      <c r="GD79" s="262"/>
      <c r="GE79" s="262"/>
      <c r="GF79" s="262"/>
      <c r="GG79" s="262"/>
      <c r="GH79" s="262"/>
      <c r="GI79" s="262"/>
      <c r="GJ79" s="262"/>
      <c r="GK79" s="262"/>
      <c r="GL79" s="262"/>
      <c r="GM79" s="262"/>
      <c r="GN79" s="262"/>
      <c r="GO79" s="262"/>
      <c r="GP79" s="262"/>
      <c r="GQ79" s="262"/>
      <c r="GR79" s="262"/>
      <c r="GS79" s="262"/>
      <c r="GT79" s="262"/>
      <c r="GU79" s="262"/>
      <c r="GV79" s="262"/>
      <c r="GW79" s="262"/>
      <c r="GX79" s="262"/>
      <c r="GY79" s="262"/>
      <c r="GZ79" s="262"/>
      <c r="HA79" s="262"/>
      <c r="HB79" s="262"/>
      <c r="HC79" s="262"/>
      <c r="HD79" s="262"/>
      <c r="HE79" s="262"/>
      <c r="HF79" s="262"/>
      <c r="HG79" s="262"/>
      <c r="HH79" s="262"/>
      <c r="HI79" s="262"/>
      <c r="HJ79" s="262"/>
      <c r="HK79" s="262"/>
      <c r="HL79" s="262"/>
      <c r="HM79" s="262"/>
      <c r="HN79" s="262"/>
      <c r="HO79" s="262"/>
      <c r="HP79" s="265"/>
      <c r="HQ79" s="265"/>
      <c r="HR79" s="265"/>
      <c r="HS79" s="265"/>
      <c r="HT79" s="265"/>
      <c r="HU79" s="265"/>
      <c r="HV79" s="265"/>
      <c r="HW79" s="265"/>
      <c r="HX79" s="265"/>
      <c r="HY79" s="265"/>
      <c r="HZ79" s="265"/>
      <c r="IA79" s="265"/>
      <c r="IB79" s="265"/>
      <c r="IC79" s="265"/>
      <c r="ID79" s="265"/>
      <c r="IE79" s="265"/>
      <c r="IF79" s="265"/>
      <c r="IG79" s="265"/>
      <c r="IH79" s="265"/>
      <c r="II79" s="265"/>
      <c r="IJ79" s="265"/>
      <c r="IK79" s="265"/>
      <c r="IL79" s="265"/>
      <c r="IM79" s="265"/>
      <c r="IN79" s="265"/>
      <c r="IO79" s="265"/>
      <c r="IP79" s="265"/>
      <c r="IQ79" s="265"/>
      <c r="IR79" s="265"/>
    </row>
    <row r="80" spans="1:27" s="206" customFormat="1" ht="24" customHeight="1">
      <c r="A80" s="234" t="s">
        <v>339</v>
      </c>
      <c r="B80" s="235">
        <f aca="true" t="shared" si="25" ref="B80:G80">SUM(B81)</f>
        <v>166</v>
      </c>
      <c r="C80" s="235">
        <f t="shared" si="25"/>
        <v>166</v>
      </c>
      <c r="D80" s="235">
        <f t="shared" si="25"/>
        <v>0</v>
      </c>
      <c r="E80" s="235">
        <f t="shared" si="25"/>
        <v>155</v>
      </c>
      <c r="F80" s="235">
        <f t="shared" si="25"/>
        <v>155</v>
      </c>
      <c r="G80" s="235">
        <f t="shared" si="25"/>
        <v>0</v>
      </c>
      <c r="H80" s="231">
        <f t="shared" si="22"/>
        <v>0.9337349397590361</v>
      </c>
      <c r="I80" s="249"/>
      <c r="J80" s="250"/>
      <c r="O80" s="251"/>
      <c r="P80" s="252"/>
      <c r="U80" s="207"/>
      <c r="V80" s="207"/>
      <c r="W80" s="207"/>
      <c r="AA80" s="254">
        <f t="shared" si="9"/>
        <v>0</v>
      </c>
    </row>
    <row r="81" spans="1:27" s="206" customFormat="1" ht="24" customHeight="1">
      <c r="A81" s="234" t="s">
        <v>340</v>
      </c>
      <c r="B81" s="235">
        <v>166</v>
      </c>
      <c r="C81" s="235">
        <v>166</v>
      </c>
      <c r="D81" s="235"/>
      <c r="E81" s="235">
        <v>155</v>
      </c>
      <c r="F81" s="235">
        <f>148+55-48</f>
        <v>155</v>
      </c>
      <c r="G81" s="235"/>
      <c r="H81" s="231">
        <f t="shared" si="22"/>
        <v>0.9337349397590361</v>
      </c>
      <c r="I81" s="249"/>
      <c r="O81" s="251"/>
      <c r="P81" s="252"/>
      <c r="U81" s="207"/>
      <c r="V81" s="207"/>
      <c r="W81" s="207"/>
      <c r="AA81" s="254">
        <f t="shared" si="9"/>
        <v>0</v>
      </c>
    </row>
    <row r="82" spans="1:27" s="206" customFormat="1" ht="24" customHeight="1">
      <c r="A82" s="234" t="s">
        <v>341</v>
      </c>
      <c r="B82" s="235">
        <f aca="true" t="shared" si="26" ref="B82:G82">SUM(B83:B85)</f>
        <v>51</v>
      </c>
      <c r="C82" s="235">
        <f t="shared" si="26"/>
        <v>51</v>
      </c>
      <c r="D82" s="235">
        <f t="shared" si="26"/>
        <v>0</v>
      </c>
      <c r="E82" s="235">
        <f t="shared" si="26"/>
        <v>64</v>
      </c>
      <c r="F82" s="235">
        <f t="shared" si="26"/>
        <v>64</v>
      </c>
      <c r="G82" s="235">
        <f t="shared" si="26"/>
        <v>0</v>
      </c>
      <c r="H82" s="231">
        <f t="shared" si="22"/>
        <v>1.2549019607843137</v>
      </c>
      <c r="I82" s="249"/>
      <c r="J82" s="250"/>
      <c r="O82" s="251"/>
      <c r="P82" s="252"/>
      <c r="U82" s="207"/>
      <c r="V82" s="207"/>
      <c r="W82" s="207"/>
      <c r="AA82" s="254">
        <f t="shared" si="9"/>
        <v>0</v>
      </c>
    </row>
    <row r="83" spans="1:27" s="206" customFormat="1" ht="24" customHeight="1">
      <c r="A83" s="234" t="s">
        <v>342</v>
      </c>
      <c r="B83" s="235">
        <v>51</v>
      </c>
      <c r="C83" s="235">
        <f>35+16</f>
        <v>51</v>
      </c>
      <c r="D83" s="235"/>
      <c r="E83" s="235">
        <v>64</v>
      </c>
      <c r="F83" s="235">
        <f>50+14</f>
        <v>64</v>
      </c>
      <c r="G83" s="235"/>
      <c r="H83" s="231">
        <f t="shared" si="22"/>
        <v>1.2549019607843137</v>
      </c>
      <c r="I83" s="249"/>
      <c r="O83" s="251"/>
      <c r="P83" s="252"/>
      <c r="U83" s="207"/>
      <c r="V83" s="207"/>
      <c r="W83" s="207"/>
      <c r="AA83" s="254">
        <f t="shared" si="9"/>
        <v>0</v>
      </c>
    </row>
    <row r="84" spans="1:27" s="207" customFormat="1" ht="24" customHeight="1">
      <c r="A84" s="234" t="s">
        <v>343</v>
      </c>
      <c r="B84" s="235"/>
      <c r="C84" s="235"/>
      <c r="D84" s="235"/>
      <c r="E84" s="235"/>
      <c r="F84" s="235"/>
      <c r="G84" s="235"/>
      <c r="H84" s="231" t="e">
        <f t="shared" si="22"/>
        <v>#DIV/0!</v>
      </c>
      <c r="I84" s="249"/>
      <c r="O84" s="251"/>
      <c r="P84" s="252"/>
      <c r="Q84" s="206"/>
      <c r="R84" s="206"/>
      <c r="AA84" s="254">
        <f t="shared" si="9"/>
        <v>0</v>
      </c>
    </row>
    <row r="85" spans="1:27" s="207" customFormat="1" ht="24" customHeight="1">
      <c r="A85" s="234" t="s">
        <v>344</v>
      </c>
      <c r="B85" s="235"/>
      <c r="C85" s="235"/>
      <c r="D85" s="235"/>
      <c r="E85" s="235"/>
      <c r="F85" s="235"/>
      <c r="G85" s="235"/>
      <c r="H85" s="231" t="e">
        <f t="shared" si="22"/>
        <v>#DIV/0!</v>
      </c>
      <c r="I85" s="249"/>
      <c r="O85" s="251"/>
      <c r="P85" s="252"/>
      <c r="Q85" s="206"/>
      <c r="R85" s="206"/>
      <c r="AA85" s="254">
        <f t="shared" si="9"/>
        <v>0</v>
      </c>
    </row>
    <row r="86" spans="1:27" s="206" customFormat="1" ht="24" customHeight="1">
      <c r="A86" s="234" t="s">
        <v>345</v>
      </c>
      <c r="B86" s="235">
        <f aca="true" t="shared" si="27" ref="B86:G86">SUM(B87:B90)</f>
        <v>396</v>
      </c>
      <c r="C86" s="235">
        <f t="shared" si="27"/>
        <v>396</v>
      </c>
      <c r="D86" s="235">
        <f t="shared" si="27"/>
        <v>0</v>
      </c>
      <c r="E86" s="235">
        <f t="shared" si="27"/>
        <v>307</v>
      </c>
      <c r="F86" s="235">
        <f t="shared" si="27"/>
        <v>307</v>
      </c>
      <c r="G86" s="235">
        <f t="shared" si="27"/>
        <v>0</v>
      </c>
      <c r="H86" s="231">
        <f t="shared" si="22"/>
        <v>0.7752525252525253</v>
      </c>
      <c r="I86" s="249"/>
      <c r="J86" s="250"/>
      <c r="O86" s="251"/>
      <c r="P86" s="252"/>
      <c r="Q86" s="207"/>
      <c r="R86" s="207"/>
      <c r="U86" s="207"/>
      <c r="V86" s="207"/>
      <c r="W86" s="207"/>
      <c r="AA86" s="254">
        <f t="shared" si="9"/>
        <v>0</v>
      </c>
    </row>
    <row r="87" spans="1:27" s="206" customFormat="1" ht="24" customHeight="1">
      <c r="A87" s="234" t="s">
        <v>346</v>
      </c>
      <c r="B87" s="235">
        <v>346</v>
      </c>
      <c r="C87" s="235">
        <v>346</v>
      </c>
      <c r="D87" s="235"/>
      <c r="E87" s="235">
        <v>257</v>
      </c>
      <c r="F87" s="235">
        <f>197+60</f>
        <v>257</v>
      </c>
      <c r="G87" s="235"/>
      <c r="H87" s="231">
        <f t="shared" si="22"/>
        <v>0.7427745664739884</v>
      </c>
      <c r="I87" s="249"/>
      <c r="O87" s="251"/>
      <c r="P87" s="252"/>
      <c r="U87" s="207"/>
      <c r="V87" s="207"/>
      <c r="W87" s="207"/>
      <c r="AA87" s="254">
        <f t="shared" si="9"/>
        <v>0</v>
      </c>
    </row>
    <row r="88" spans="1:27" s="206" customFormat="1" ht="24" customHeight="1">
      <c r="A88" s="234" t="s">
        <v>347</v>
      </c>
      <c r="B88" s="235"/>
      <c r="C88" s="235"/>
      <c r="D88" s="235"/>
      <c r="E88" s="235"/>
      <c r="F88" s="235"/>
      <c r="G88" s="235"/>
      <c r="H88" s="231" t="e">
        <f t="shared" si="22"/>
        <v>#DIV/0!</v>
      </c>
      <c r="I88" s="249"/>
      <c r="O88" s="251"/>
      <c r="P88" s="252"/>
      <c r="U88" s="207"/>
      <c r="V88" s="207"/>
      <c r="W88" s="207"/>
      <c r="AA88" s="254">
        <f t="shared" si="9"/>
        <v>0</v>
      </c>
    </row>
    <row r="89" spans="1:27" s="207" customFormat="1" ht="24" customHeight="1">
      <c r="A89" s="234" t="s">
        <v>348</v>
      </c>
      <c r="B89" s="235"/>
      <c r="C89" s="235"/>
      <c r="D89" s="235"/>
      <c r="E89" s="235"/>
      <c r="F89" s="235"/>
      <c r="G89" s="235"/>
      <c r="H89" s="231" t="e">
        <f t="shared" si="22"/>
        <v>#DIV/0!</v>
      </c>
      <c r="I89" s="249"/>
      <c r="O89" s="251"/>
      <c r="P89" s="252"/>
      <c r="Q89" s="206"/>
      <c r="R89" s="206"/>
      <c r="AA89" s="254">
        <f t="shared" si="9"/>
        <v>0</v>
      </c>
    </row>
    <row r="90" spans="1:27" s="207" customFormat="1" ht="24" customHeight="1">
      <c r="A90" s="234" t="s">
        <v>349</v>
      </c>
      <c r="B90" s="235">
        <v>50</v>
      </c>
      <c r="C90" s="235">
        <v>50</v>
      </c>
      <c r="D90" s="235"/>
      <c r="E90" s="235">
        <v>50</v>
      </c>
      <c r="F90" s="235">
        <v>50</v>
      </c>
      <c r="G90" s="235"/>
      <c r="H90" s="231">
        <f t="shared" si="22"/>
        <v>1</v>
      </c>
      <c r="I90" s="249"/>
      <c r="O90" s="251"/>
      <c r="P90" s="252"/>
      <c r="Q90" s="206"/>
      <c r="R90" s="206"/>
      <c r="AA90" s="254">
        <f t="shared" si="9"/>
        <v>0</v>
      </c>
    </row>
    <row r="91" spans="1:27" s="205" customFormat="1" ht="24" customHeight="1">
      <c r="A91" s="232" t="s">
        <v>350</v>
      </c>
      <c r="B91" s="233">
        <f aca="true" t="shared" si="28" ref="B91:G92">SUM(B92)</f>
        <v>120</v>
      </c>
      <c r="C91" s="233">
        <f t="shared" si="28"/>
        <v>120</v>
      </c>
      <c r="D91" s="233">
        <f t="shared" si="28"/>
        <v>0</v>
      </c>
      <c r="E91" s="233">
        <f t="shared" si="28"/>
        <v>117</v>
      </c>
      <c r="F91" s="233">
        <f t="shared" si="28"/>
        <v>117</v>
      </c>
      <c r="G91" s="233">
        <f t="shared" si="28"/>
        <v>0</v>
      </c>
      <c r="H91" s="231">
        <f t="shared" si="22"/>
        <v>0.975</v>
      </c>
      <c r="I91" s="245"/>
      <c r="O91" s="247"/>
      <c r="P91" s="248"/>
      <c r="Q91" s="208"/>
      <c r="R91" s="208"/>
      <c r="AA91" s="263"/>
    </row>
    <row r="92" spans="1:27" s="207" customFormat="1" ht="24" customHeight="1">
      <c r="A92" s="234" t="s">
        <v>351</v>
      </c>
      <c r="B92" s="235">
        <f t="shared" si="28"/>
        <v>120</v>
      </c>
      <c r="C92" s="235">
        <f t="shared" si="28"/>
        <v>120</v>
      </c>
      <c r="D92" s="235">
        <f t="shared" si="28"/>
        <v>0</v>
      </c>
      <c r="E92" s="235">
        <f t="shared" si="28"/>
        <v>117</v>
      </c>
      <c r="F92" s="235">
        <f t="shared" si="28"/>
        <v>117</v>
      </c>
      <c r="G92" s="235">
        <f t="shared" si="28"/>
        <v>0</v>
      </c>
      <c r="H92" s="231">
        <f t="shared" si="22"/>
        <v>0.975</v>
      </c>
      <c r="I92" s="249"/>
      <c r="O92" s="251"/>
      <c r="P92" s="252"/>
      <c r="Q92" s="206"/>
      <c r="R92" s="206"/>
      <c r="AA92" s="254"/>
    </row>
    <row r="93" spans="1:27" s="207" customFormat="1" ht="24" customHeight="1">
      <c r="A93" s="234" t="s">
        <v>352</v>
      </c>
      <c r="B93" s="235">
        <v>120</v>
      </c>
      <c r="C93" s="235">
        <v>120</v>
      </c>
      <c r="D93" s="235"/>
      <c r="E93" s="235">
        <v>117</v>
      </c>
      <c r="F93" s="235">
        <f>49+68</f>
        <v>117</v>
      </c>
      <c r="G93" s="235"/>
      <c r="H93" s="231">
        <f t="shared" si="22"/>
        <v>0.975</v>
      </c>
      <c r="I93" s="249"/>
      <c r="O93" s="251"/>
      <c r="P93" s="252"/>
      <c r="Q93" s="206"/>
      <c r="R93" s="206"/>
      <c r="AA93" s="254"/>
    </row>
    <row r="94" spans="1:27" s="205" customFormat="1" ht="24" customHeight="1">
      <c r="A94" s="232" t="s">
        <v>353</v>
      </c>
      <c r="B94" s="233">
        <f aca="true" t="shared" si="29" ref="B94:G94">B95+B97+B104+B107+B110</f>
        <v>3407</v>
      </c>
      <c r="C94" s="233">
        <f t="shared" si="29"/>
        <v>3407</v>
      </c>
      <c r="D94" s="233">
        <f t="shared" si="29"/>
        <v>0</v>
      </c>
      <c r="E94" s="233">
        <f t="shared" si="29"/>
        <v>3484</v>
      </c>
      <c r="F94" s="233">
        <f t="shared" si="29"/>
        <v>2804</v>
      </c>
      <c r="G94" s="233">
        <f t="shared" si="29"/>
        <v>0</v>
      </c>
      <c r="H94" s="231">
        <f t="shared" si="22"/>
        <v>1.0226005283240387</v>
      </c>
      <c r="I94" s="245"/>
      <c r="J94" s="246"/>
      <c r="O94" s="247"/>
      <c r="P94" s="248"/>
      <c r="AA94" s="263">
        <f aca="true" t="shared" si="30" ref="AA94:AA99">F94-E94</f>
        <v>-680</v>
      </c>
    </row>
    <row r="95" spans="1:27" s="207" customFormat="1" ht="24" customHeight="1">
      <c r="A95" s="234" t="s">
        <v>354</v>
      </c>
      <c r="B95" s="235">
        <f aca="true" t="shared" si="31" ref="B95:G95">SUM(B96:B96)</f>
        <v>20</v>
      </c>
      <c r="C95" s="235">
        <f t="shared" si="31"/>
        <v>20</v>
      </c>
      <c r="D95" s="235">
        <f t="shared" si="31"/>
        <v>0</v>
      </c>
      <c r="E95" s="235">
        <f t="shared" si="31"/>
        <v>18</v>
      </c>
      <c r="F95" s="235">
        <f t="shared" si="31"/>
        <v>18</v>
      </c>
      <c r="G95" s="235">
        <f t="shared" si="31"/>
        <v>0</v>
      </c>
      <c r="H95" s="231">
        <f t="shared" si="22"/>
        <v>0.9</v>
      </c>
      <c r="I95" s="249"/>
      <c r="J95" s="250"/>
      <c r="O95" s="251"/>
      <c r="P95" s="234"/>
      <c r="AA95" s="254">
        <f t="shared" si="30"/>
        <v>0</v>
      </c>
    </row>
    <row r="96" spans="1:27" s="207" customFormat="1" ht="24" customHeight="1">
      <c r="A96" s="234" t="s">
        <v>355</v>
      </c>
      <c r="B96" s="235">
        <v>20</v>
      </c>
      <c r="C96" s="235">
        <v>20</v>
      </c>
      <c r="D96" s="235"/>
      <c r="E96" s="235">
        <v>18</v>
      </c>
      <c r="F96" s="235">
        <v>18</v>
      </c>
      <c r="G96" s="235"/>
      <c r="H96" s="231">
        <f t="shared" si="22"/>
        <v>0.9</v>
      </c>
      <c r="I96" s="255"/>
      <c r="O96" s="251"/>
      <c r="P96" s="234"/>
      <c r="AA96" s="254">
        <f t="shared" si="30"/>
        <v>0</v>
      </c>
    </row>
    <row r="97" spans="1:27" s="207" customFormat="1" ht="24" customHeight="1">
      <c r="A97" s="234" t="s">
        <v>356</v>
      </c>
      <c r="B97" s="235">
        <f aca="true" t="shared" si="32" ref="B97:G97">SUM(B98:B103)</f>
        <v>2884</v>
      </c>
      <c r="C97" s="235">
        <f t="shared" si="32"/>
        <v>2884</v>
      </c>
      <c r="D97" s="235">
        <f t="shared" si="32"/>
        <v>0</v>
      </c>
      <c r="E97" s="235">
        <f t="shared" si="32"/>
        <v>3131</v>
      </c>
      <c r="F97" s="235">
        <f t="shared" si="32"/>
        <v>2451</v>
      </c>
      <c r="G97" s="235">
        <f t="shared" si="32"/>
        <v>0</v>
      </c>
      <c r="H97" s="231">
        <f t="shared" si="22"/>
        <v>1.0856449375866852</v>
      </c>
      <c r="I97" s="249"/>
      <c r="J97" s="250"/>
      <c r="O97" s="251"/>
      <c r="P97" s="252"/>
      <c r="Q97" s="206"/>
      <c r="R97" s="206"/>
      <c r="AA97" s="254">
        <f t="shared" si="30"/>
        <v>-680</v>
      </c>
    </row>
    <row r="98" spans="1:27" s="207" customFormat="1" ht="24" customHeight="1">
      <c r="A98" s="234" t="s">
        <v>357</v>
      </c>
      <c r="B98" s="235">
        <v>2539</v>
      </c>
      <c r="C98" s="235">
        <v>2539</v>
      </c>
      <c r="D98" s="235"/>
      <c r="E98" s="235">
        <v>2820</v>
      </c>
      <c r="F98" s="235">
        <f>2236+591-7-680</f>
        <v>2140</v>
      </c>
      <c r="G98" s="235"/>
      <c r="H98" s="231">
        <f t="shared" si="22"/>
        <v>1.1106734935013785</v>
      </c>
      <c r="I98" s="267"/>
      <c r="O98" s="251"/>
      <c r="P98" s="252"/>
      <c r="Q98" s="206"/>
      <c r="R98" s="206"/>
      <c r="AA98" s="254">
        <f t="shared" si="30"/>
        <v>-680</v>
      </c>
    </row>
    <row r="99" spans="1:27" s="207" customFormat="1" ht="24" customHeight="1">
      <c r="A99" s="234" t="s">
        <v>358</v>
      </c>
      <c r="B99" s="235"/>
      <c r="C99" s="235"/>
      <c r="D99" s="235"/>
      <c r="E99" s="235"/>
      <c r="F99" s="235"/>
      <c r="G99" s="235"/>
      <c r="H99" s="231" t="e">
        <f t="shared" si="22"/>
        <v>#DIV/0!</v>
      </c>
      <c r="I99" s="255"/>
      <c r="O99" s="251"/>
      <c r="P99" s="252"/>
      <c r="AA99" s="254">
        <f t="shared" si="30"/>
        <v>0</v>
      </c>
    </row>
    <row r="100" spans="1:27" s="207" customFormat="1" ht="24" customHeight="1">
      <c r="A100" s="234" t="s">
        <v>359</v>
      </c>
      <c r="B100" s="235">
        <v>90</v>
      </c>
      <c r="C100" s="235">
        <v>90</v>
      </c>
      <c r="D100" s="235"/>
      <c r="E100" s="235">
        <v>81</v>
      </c>
      <c r="F100" s="235">
        <v>81</v>
      </c>
      <c r="G100" s="235"/>
      <c r="H100" s="231">
        <f t="shared" si="22"/>
        <v>0.9</v>
      </c>
      <c r="I100" s="255"/>
      <c r="O100" s="251"/>
      <c r="P100" s="252"/>
      <c r="AA100" s="254"/>
    </row>
    <row r="101" spans="1:27" s="207" customFormat="1" ht="24" customHeight="1">
      <c r="A101" s="234" t="s">
        <v>360</v>
      </c>
      <c r="B101" s="235">
        <v>7</v>
      </c>
      <c r="C101" s="235">
        <v>7</v>
      </c>
      <c r="D101" s="235"/>
      <c r="E101" s="235">
        <v>7</v>
      </c>
      <c r="F101" s="235">
        <v>7</v>
      </c>
      <c r="G101" s="235"/>
      <c r="H101" s="231">
        <f t="shared" si="22"/>
        <v>1</v>
      </c>
      <c r="I101" s="255"/>
      <c r="O101" s="251"/>
      <c r="P101" s="252"/>
      <c r="AA101" s="254">
        <f>F101-E101</f>
        <v>0</v>
      </c>
    </row>
    <row r="102" spans="1:27" s="207" customFormat="1" ht="24" customHeight="1">
      <c r="A102" s="234" t="s">
        <v>361</v>
      </c>
      <c r="B102" s="235">
        <v>248</v>
      </c>
      <c r="C102" s="235">
        <v>248</v>
      </c>
      <c r="D102" s="235"/>
      <c r="E102" s="235">
        <v>223</v>
      </c>
      <c r="F102" s="235">
        <v>223</v>
      </c>
      <c r="G102" s="235"/>
      <c r="H102" s="231">
        <f t="shared" si="22"/>
        <v>0.8991935483870968</v>
      </c>
      <c r="I102" s="255"/>
      <c r="O102" s="251"/>
      <c r="P102" s="252"/>
      <c r="AA102" s="254">
        <f>F102-E102</f>
        <v>0</v>
      </c>
    </row>
    <row r="103" spans="1:27" s="207" customFormat="1" ht="24" customHeight="1">
      <c r="A103" s="234" t="s">
        <v>362</v>
      </c>
      <c r="B103" s="235"/>
      <c r="C103" s="235"/>
      <c r="D103" s="235"/>
      <c r="E103" s="235"/>
      <c r="F103" s="235"/>
      <c r="G103" s="235"/>
      <c r="H103" s="231" t="e">
        <f t="shared" si="22"/>
        <v>#DIV/0!</v>
      </c>
      <c r="I103" s="255"/>
      <c r="O103" s="251"/>
      <c r="P103" s="252"/>
      <c r="AA103" s="254"/>
    </row>
    <row r="104" spans="1:27" s="207" customFormat="1" ht="24" customHeight="1">
      <c r="A104" s="234" t="s">
        <v>363</v>
      </c>
      <c r="B104" s="235">
        <f aca="true" t="shared" si="33" ref="B104:G104">SUM(B105:B106)</f>
        <v>51</v>
      </c>
      <c r="C104" s="235">
        <f t="shared" si="33"/>
        <v>51</v>
      </c>
      <c r="D104" s="235">
        <f t="shared" si="33"/>
        <v>0</v>
      </c>
      <c r="E104" s="235"/>
      <c r="F104" s="235"/>
      <c r="G104" s="235">
        <f t="shared" si="33"/>
        <v>0</v>
      </c>
      <c r="H104" s="231">
        <f t="shared" si="22"/>
        <v>0</v>
      </c>
      <c r="I104" s="249"/>
      <c r="J104" s="250"/>
      <c r="O104" s="251"/>
      <c r="AA104" s="254">
        <f aca="true" t="shared" si="34" ref="AA104:AA119">F104-E104</f>
        <v>0</v>
      </c>
    </row>
    <row r="105" spans="1:27" s="207" customFormat="1" ht="24" customHeight="1">
      <c r="A105" s="234" t="s">
        <v>364</v>
      </c>
      <c r="B105" s="235">
        <v>51</v>
      </c>
      <c r="C105" s="235">
        <v>51</v>
      </c>
      <c r="D105" s="235"/>
      <c r="E105" s="235"/>
      <c r="F105" s="235"/>
      <c r="G105" s="235"/>
      <c r="H105" s="231">
        <f t="shared" si="22"/>
        <v>0</v>
      </c>
      <c r="I105" s="255"/>
      <c r="O105" s="251"/>
      <c r="AA105" s="254">
        <f t="shared" si="34"/>
        <v>0</v>
      </c>
    </row>
    <row r="106" spans="1:27" s="207" customFormat="1" ht="24" customHeight="1">
      <c r="A106" s="234" t="s">
        <v>365</v>
      </c>
      <c r="B106" s="235"/>
      <c r="C106" s="235"/>
      <c r="D106" s="235"/>
      <c r="E106" s="235"/>
      <c r="F106" s="235"/>
      <c r="G106" s="235"/>
      <c r="H106" s="231" t="e">
        <f t="shared" si="22"/>
        <v>#DIV/0!</v>
      </c>
      <c r="I106" s="255"/>
      <c r="O106" s="251"/>
      <c r="AA106" s="254">
        <f t="shared" si="34"/>
        <v>0</v>
      </c>
    </row>
    <row r="107" spans="1:27" s="207" customFormat="1" ht="24" customHeight="1">
      <c r="A107" s="234" t="s">
        <v>366</v>
      </c>
      <c r="B107" s="235">
        <f aca="true" t="shared" si="35" ref="B107:G107">SUM(B108:B109)</f>
        <v>97</v>
      </c>
      <c r="C107" s="235">
        <f t="shared" si="35"/>
        <v>97</v>
      </c>
      <c r="D107" s="235">
        <f t="shared" si="35"/>
        <v>0</v>
      </c>
      <c r="E107" s="235"/>
      <c r="F107" s="235"/>
      <c r="G107" s="235">
        <f t="shared" si="35"/>
        <v>0</v>
      </c>
      <c r="H107" s="231">
        <f t="shared" si="22"/>
        <v>0</v>
      </c>
      <c r="I107" s="249"/>
      <c r="J107" s="250"/>
      <c r="O107" s="251"/>
      <c r="AA107" s="254">
        <f t="shared" si="34"/>
        <v>0</v>
      </c>
    </row>
    <row r="108" spans="1:27" s="207" customFormat="1" ht="24" customHeight="1">
      <c r="A108" s="234" t="s">
        <v>367</v>
      </c>
      <c r="B108" s="235">
        <v>97</v>
      </c>
      <c r="C108" s="235">
        <v>97</v>
      </c>
      <c r="D108" s="235"/>
      <c r="E108" s="235"/>
      <c r="F108" s="235"/>
      <c r="G108" s="235"/>
      <c r="H108" s="231">
        <f t="shared" si="22"/>
        <v>0</v>
      </c>
      <c r="I108" s="255"/>
      <c r="O108" s="251"/>
      <c r="AA108" s="254">
        <f t="shared" si="34"/>
        <v>0</v>
      </c>
    </row>
    <row r="109" spans="1:27" s="207" customFormat="1" ht="24" customHeight="1">
      <c r="A109" s="234" t="s">
        <v>368</v>
      </c>
      <c r="B109" s="235"/>
      <c r="C109" s="235"/>
      <c r="D109" s="235"/>
      <c r="E109" s="235"/>
      <c r="F109" s="235"/>
      <c r="G109" s="235"/>
      <c r="H109" s="231" t="e">
        <f t="shared" si="22"/>
        <v>#DIV/0!</v>
      </c>
      <c r="I109" s="255"/>
      <c r="O109" s="251"/>
      <c r="AA109" s="254">
        <f t="shared" si="34"/>
        <v>0</v>
      </c>
    </row>
    <row r="110" spans="1:27" s="207" customFormat="1" ht="24" customHeight="1">
      <c r="A110" s="234" t="s">
        <v>369</v>
      </c>
      <c r="B110" s="235">
        <f aca="true" t="shared" si="36" ref="B110:G110">SUM(B111:B113)</f>
        <v>355</v>
      </c>
      <c r="C110" s="235">
        <f t="shared" si="36"/>
        <v>355</v>
      </c>
      <c r="D110" s="235">
        <f t="shared" si="36"/>
        <v>0</v>
      </c>
      <c r="E110" s="235">
        <f t="shared" si="36"/>
        <v>335</v>
      </c>
      <c r="F110" s="235">
        <f t="shared" si="36"/>
        <v>335</v>
      </c>
      <c r="G110" s="235">
        <f t="shared" si="36"/>
        <v>0</v>
      </c>
      <c r="H110" s="231">
        <f t="shared" si="22"/>
        <v>0.9436619718309859</v>
      </c>
      <c r="I110" s="249"/>
      <c r="J110" s="250"/>
      <c r="O110" s="251"/>
      <c r="P110" s="252"/>
      <c r="AA110" s="254">
        <f t="shared" si="34"/>
        <v>0</v>
      </c>
    </row>
    <row r="111" spans="1:27" s="207" customFormat="1" ht="24" customHeight="1">
      <c r="A111" s="234" t="s">
        <v>370</v>
      </c>
      <c r="B111" s="235">
        <v>355</v>
      </c>
      <c r="C111" s="235">
        <v>355</v>
      </c>
      <c r="D111" s="235"/>
      <c r="E111" s="235">
        <v>335</v>
      </c>
      <c r="F111" s="235">
        <f>277+58</f>
        <v>335</v>
      </c>
      <c r="G111" s="235"/>
      <c r="H111" s="231">
        <f t="shared" si="22"/>
        <v>0.9436619718309859</v>
      </c>
      <c r="I111" s="255"/>
      <c r="O111" s="251"/>
      <c r="P111" s="252"/>
      <c r="AA111" s="254">
        <f t="shared" si="34"/>
        <v>0</v>
      </c>
    </row>
    <row r="112" spans="1:27" s="207" customFormat="1" ht="24" customHeight="1">
      <c r="A112" s="234" t="s">
        <v>371</v>
      </c>
      <c r="B112" s="235"/>
      <c r="C112" s="235"/>
      <c r="D112" s="235"/>
      <c r="E112" s="235"/>
      <c r="F112" s="235"/>
      <c r="G112" s="235"/>
      <c r="H112" s="231" t="e">
        <f t="shared" si="22"/>
        <v>#DIV/0!</v>
      </c>
      <c r="I112" s="255"/>
      <c r="O112" s="251"/>
      <c r="P112" s="252"/>
      <c r="AA112" s="254">
        <f t="shared" si="34"/>
        <v>0</v>
      </c>
    </row>
    <row r="113" spans="1:27" s="207" customFormat="1" ht="24" customHeight="1">
      <c r="A113" s="234" t="s">
        <v>372</v>
      </c>
      <c r="B113" s="235"/>
      <c r="C113" s="235"/>
      <c r="D113" s="235"/>
      <c r="E113" s="235"/>
      <c r="F113" s="235"/>
      <c r="G113" s="235"/>
      <c r="H113" s="231" t="e">
        <f t="shared" si="22"/>
        <v>#DIV/0!</v>
      </c>
      <c r="I113" s="255"/>
      <c r="O113" s="251"/>
      <c r="P113" s="252"/>
      <c r="AA113" s="254">
        <f t="shared" si="34"/>
        <v>0</v>
      </c>
    </row>
    <row r="114" spans="1:27" s="205" customFormat="1" ht="24" customHeight="1">
      <c r="A114" s="232" t="s">
        <v>373</v>
      </c>
      <c r="B114" s="233">
        <f aca="true" t="shared" si="37" ref="B114:G114">B115+B118+B124+B130+B132+B134+B136+B140+B142</f>
        <v>16580</v>
      </c>
      <c r="C114" s="233">
        <f t="shared" si="37"/>
        <v>15726</v>
      </c>
      <c r="D114" s="233">
        <f t="shared" si="37"/>
        <v>737</v>
      </c>
      <c r="E114" s="233">
        <f t="shared" si="37"/>
        <v>15641</v>
      </c>
      <c r="F114" s="233">
        <f t="shared" si="37"/>
        <v>11466</v>
      </c>
      <c r="G114" s="233">
        <f t="shared" si="37"/>
        <v>521</v>
      </c>
      <c r="H114" s="231">
        <f t="shared" si="22"/>
        <v>0.9433655006031363</v>
      </c>
      <c r="I114" s="245"/>
      <c r="J114" s="246"/>
      <c r="K114" s="205">
        <f>E114/B114-1</f>
        <v>-0.05663449939686371</v>
      </c>
      <c r="O114" s="247"/>
      <c r="P114" s="248"/>
      <c r="Q114" s="261"/>
      <c r="R114" s="261"/>
      <c r="S114" s="261"/>
      <c r="AA114" s="263">
        <f t="shared" si="34"/>
        <v>-4175</v>
      </c>
    </row>
    <row r="115" spans="1:27" s="207" customFormat="1" ht="24" customHeight="1">
      <c r="A115" s="234" t="s">
        <v>374</v>
      </c>
      <c r="B115" s="235">
        <v>313</v>
      </c>
      <c r="C115" s="235">
        <f>SUM(C116:C117)</f>
        <v>311</v>
      </c>
      <c r="D115" s="235">
        <f>SUM(D116:D117)</f>
        <v>0</v>
      </c>
      <c r="E115" s="235">
        <v>254</v>
      </c>
      <c r="F115" s="235">
        <f>SUM(F116:F117)</f>
        <v>254</v>
      </c>
      <c r="G115" s="235">
        <f>SUM(G116:G117)</f>
        <v>0</v>
      </c>
      <c r="H115" s="231">
        <f t="shared" si="22"/>
        <v>0.8115015974440895</v>
      </c>
      <c r="I115" s="249"/>
      <c r="J115" s="250"/>
      <c r="O115" s="251"/>
      <c r="P115" s="252"/>
      <c r="AA115" s="254">
        <f t="shared" si="34"/>
        <v>0</v>
      </c>
    </row>
    <row r="116" spans="1:27" s="207" customFormat="1" ht="24" customHeight="1">
      <c r="A116" s="234" t="s">
        <v>375</v>
      </c>
      <c r="B116" s="235">
        <v>311</v>
      </c>
      <c r="C116" s="235">
        <v>311</v>
      </c>
      <c r="D116" s="235"/>
      <c r="E116" s="235">
        <v>254</v>
      </c>
      <c r="F116" s="235">
        <f>156+98</f>
        <v>254</v>
      </c>
      <c r="G116" s="235"/>
      <c r="H116" s="231">
        <f t="shared" si="22"/>
        <v>0.8167202572347267</v>
      </c>
      <c r="I116" s="255"/>
      <c r="O116" s="251"/>
      <c r="P116" s="252"/>
      <c r="AA116" s="254">
        <f t="shared" si="34"/>
        <v>0</v>
      </c>
    </row>
    <row r="117" spans="1:27" s="207" customFormat="1" ht="24" customHeight="1">
      <c r="A117" s="234" t="s">
        <v>376</v>
      </c>
      <c r="B117" s="235"/>
      <c r="C117" s="235"/>
      <c r="D117" s="235"/>
      <c r="E117" s="235"/>
      <c r="F117" s="235"/>
      <c r="G117" s="235"/>
      <c r="H117" s="231" t="e">
        <f t="shared" si="22"/>
        <v>#DIV/0!</v>
      </c>
      <c r="I117" s="255"/>
      <c r="O117" s="251"/>
      <c r="P117" s="252"/>
      <c r="AA117" s="254">
        <f t="shared" si="34"/>
        <v>0</v>
      </c>
    </row>
    <row r="118" spans="1:27" s="207" customFormat="1" ht="24" customHeight="1">
      <c r="A118" s="234" t="s">
        <v>377</v>
      </c>
      <c r="B118" s="235">
        <f aca="true" t="shared" si="38" ref="B118:G118">SUM(B119:B123)</f>
        <v>13090</v>
      </c>
      <c r="C118" s="235">
        <f t="shared" si="38"/>
        <v>12238</v>
      </c>
      <c r="D118" s="235">
        <f t="shared" si="38"/>
        <v>668</v>
      </c>
      <c r="E118" s="235">
        <f t="shared" si="38"/>
        <v>12596</v>
      </c>
      <c r="F118" s="235">
        <f t="shared" si="38"/>
        <v>8421</v>
      </c>
      <c r="G118" s="235">
        <f t="shared" si="38"/>
        <v>500</v>
      </c>
      <c r="H118" s="231">
        <f t="shared" si="22"/>
        <v>0.9622612681436211</v>
      </c>
      <c r="I118" s="249"/>
      <c r="J118" s="250"/>
      <c r="O118" s="251"/>
      <c r="P118" s="234"/>
      <c r="Q118" s="268"/>
      <c r="R118" s="268"/>
      <c r="S118" s="268"/>
      <c r="AA118" s="254">
        <f t="shared" si="34"/>
        <v>-4175</v>
      </c>
    </row>
    <row r="119" spans="1:27" s="207" customFormat="1" ht="30" customHeight="1">
      <c r="A119" s="234" t="s">
        <v>378</v>
      </c>
      <c r="B119" s="235">
        <v>235</v>
      </c>
      <c r="C119" s="235">
        <v>235</v>
      </c>
      <c r="D119" s="235">
        <v>414</v>
      </c>
      <c r="E119" s="235">
        <v>255</v>
      </c>
      <c r="F119" s="235">
        <f>479-224</f>
        <v>255</v>
      </c>
      <c r="G119" s="235">
        <v>317</v>
      </c>
      <c r="H119" s="231">
        <f t="shared" si="22"/>
        <v>1.0851063829787233</v>
      </c>
      <c r="I119" s="255" t="s">
        <v>379</v>
      </c>
      <c r="O119" s="251"/>
      <c r="P119" s="252"/>
      <c r="AA119" s="254">
        <f t="shared" si="34"/>
        <v>0</v>
      </c>
    </row>
    <row r="120" spans="1:27" s="207" customFormat="1" ht="24" customHeight="1">
      <c r="A120" s="234" t="s">
        <v>380</v>
      </c>
      <c r="B120" s="235">
        <v>7221</v>
      </c>
      <c r="C120" s="235">
        <v>6369</v>
      </c>
      <c r="D120" s="235"/>
      <c r="E120" s="235">
        <v>6888</v>
      </c>
      <c r="F120" s="235">
        <f>6888-2175</f>
        <v>4713</v>
      </c>
      <c r="G120" s="235"/>
      <c r="H120" s="231">
        <f t="shared" si="22"/>
        <v>0.9538845035313669</v>
      </c>
      <c r="I120" s="255"/>
      <c r="O120" s="251"/>
      <c r="P120" s="252"/>
      <c r="AA120" s="254"/>
    </row>
    <row r="121" spans="1:27" s="207" customFormat="1" ht="24" customHeight="1">
      <c r="A121" s="234" t="s">
        <v>381</v>
      </c>
      <c r="B121" s="235">
        <v>3793</v>
      </c>
      <c r="C121" s="235">
        <f>3425+132+236</f>
        <v>3793</v>
      </c>
      <c r="D121" s="235"/>
      <c r="E121" s="235">
        <v>3365</v>
      </c>
      <c r="F121" s="235">
        <f>3365-2000</f>
        <v>1365</v>
      </c>
      <c r="G121" s="235"/>
      <c r="H121" s="231">
        <f t="shared" si="22"/>
        <v>0.8871605589243343</v>
      </c>
      <c r="I121" s="255"/>
      <c r="O121" s="251"/>
      <c r="P121" s="252"/>
      <c r="AA121" s="254">
        <f aca="true" t="shared" si="39" ref="AA121:AA139">F121-E121</f>
        <v>-2000</v>
      </c>
    </row>
    <row r="122" spans="1:27" s="207" customFormat="1" ht="57.75" customHeight="1">
      <c r="A122" s="234" t="s">
        <v>382</v>
      </c>
      <c r="B122" s="235">
        <v>1457</v>
      </c>
      <c r="C122" s="235">
        <v>1457</v>
      </c>
      <c r="D122" s="235">
        <v>224</v>
      </c>
      <c r="E122" s="235">
        <v>1669</v>
      </c>
      <c r="F122" s="235">
        <f>1507+162</f>
        <v>1669</v>
      </c>
      <c r="G122" s="235">
        <v>183</v>
      </c>
      <c r="H122" s="231">
        <f t="shared" si="22"/>
        <v>1.1455044612216885</v>
      </c>
      <c r="I122" s="255" t="s">
        <v>383</v>
      </c>
      <c r="O122" s="251"/>
      <c r="P122" s="252"/>
      <c r="AA122" s="254">
        <f t="shared" si="39"/>
        <v>0</v>
      </c>
    </row>
    <row r="123" spans="1:27" s="207" customFormat="1" ht="24" customHeight="1">
      <c r="A123" s="234" t="s">
        <v>384</v>
      </c>
      <c r="B123" s="235">
        <v>384</v>
      </c>
      <c r="C123" s="235">
        <v>384</v>
      </c>
      <c r="D123" s="235">
        <v>30</v>
      </c>
      <c r="E123" s="235">
        <v>419</v>
      </c>
      <c r="F123" s="235">
        <v>419</v>
      </c>
      <c r="G123" s="235"/>
      <c r="H123" s="231">
        <f t="shared" si="22"/>
        <v>1.0911458333333333</v>
      </c>
      <c r="I123" s="255"/>
      <c r="O123" s="251"/>
      <c r="P123" s="252"/>
      <c r="AA123" s="254">
        <f t="shared" si="39"/>
        <v>0</v>
      </c>
    </row>
    <row r="124" spans="1:27" s="207" customFormat="1" ht="24" customHeight="1">
      <c r="A124" s="234" t="s">
        <v>385</v>
      </c>
      <c r="B124" s="235">
        <f aca="true" t="shared" si="40" ref="B124:G124">SUM(B125:B129)</f>
        <v>371</v>
      </c>
      <c r="C124" s="235">
        <f t="shared" si="40"/>
        <v>371</v>
      </c>
      <c r="D124" s="235">
        <f t="shared" si="40"/>
        <v>53</v>
      </c>
      <c r="E124" s="235">
        <f t="shared" si="40"/>
        <v>429</v>
      </c>
      <c r="F124" s="235">
        <f t="shared" si="40"/>
        <v>429</v>
      </c>
      <c r="G124" s="235">
        <f t="shared" si="40"/>
        <v>2</v>
      </c>
      <c r="H124" s="231">
        <f t="shared" si="22"/>
        <v>1.15633423180593</v>
      </c>
      <c r="I124" s="249"/>
      <c r="J124" s="250"/>
      <c r="O124" s="251"/>
      <c r="P124" s="234"/>
      <c r="Q124" s="268"/>
      <c r="R124" s="268"/>
      <c r="S124" s="268"/>
      <c r="AA124" s="254">
        <f t="shared" si="39"/>
        <v>0</v>
      </c>
    </row>
    <row r="125" spans="1:27" s="207" customFormat="1" ht="24" customHeight="1">
      <c r="A125" s="234" t="s">
        <v>386</v>
      </c>
      <c r="B125" s="235"/>
      <c r="C125" s="235"/>
      <c r="D125" s="235"/>
      <c r="E125" s="235"/>
      <c r="F125" s="235"/>
      <c r="G125" s="235"/>
      <c r="H125" s="231" t="e">
        <f t="shared" si="22"/>
        <v>#DIV/0!</v>
      </c>
      <c r="I125" s="255"/>
      <c r="O125" s="251"/>
      <c r="P125" s="252"/>
      <c r="AA125" s="254">
        <f t="shared" si="39"/>
        <v>0</v>
      </c>
    </row>
    <row r="126" spans="1:27" s="207" customFormat="1" ht="24" customHeight="1">
      <c r="A126" s="234" t="s">
        <v>387</v>
      </c>
      <c r="B126" s="235"/>
      <c r="C126" s="235"/>
      <c r="D126" s="235"/>
      <c r="E126" s="235"/>
      <c r="F126" s="235"/>
      <c r="G126" s="235"/>
      <c r="H126" s="231" t="e">
        <f t="shared" si="22"/>
        <v>#DIV/0!</v>
      </c>
      <c r="I126" s="255"/>
      <c r="O126" s="251"/>
      <c r="P126" s="252"/>
      <c r="AA126" s="254">
        <f t="shared" si="39"/>
        <v>0</v>
      </c>
    </row>
    <row r="127" spans="1:27" s="207" customFormat="1" ht="24" customHeight="1">
      <c r="A127" s="234" t="s">
        <v>388</v>
      </c>
      <c r="B127" s="235"/>
      <c r="C127" s="235"/>
      <c r="D127" s="235">
        <v>49</v>
      </c>
      <c r="E127" s="235"/>
      <c r="F127" s="235"/>
      <c r="G127" s="235"/>
      <c r="H127" s="231" t="e">
        <f t="shared" si="22"/>
        <v>#DIV/0!</v>
      </c>
      <c r="I127" s="255"/>
      <c r="O127" s="251"/>
      <c r="P127" s="252"/>
      <c r="AA127" s="254">
        <f t="shared" si="39"/>
        <v>0</v>
      </c>
    </row>
    <row r="128" spans="1:27" s="207" customFormat="1" ht="24" customHeight="1">
      <c r="A128" s="234" t="s">
        <v>389</v>
      </c>
      <c r="B128" s="235">
        <v>371</v>
      </c>
      <c r="C128" s="235">
        <v>371</v>
      </c>
      <c r="D128" s="235"/>
      <c r="E128" s="235">
        <v>429</v>
      </c>
      <c r="F128" s="235">
        <f>348+81</f>
        <v>429</v>
      </c>
      <c r="G128" s="235"/>
      <c r="H128" s="231">
        <f t="shared" si="22"/>
        <v>1.15633423180593</v>
      </c>
      <c r="I128" s="255"/>
      <c r="O128" s="251"/>
      <c r="P128" s="252"/>
      <c r="AA128" s="254">
        <f t="shared" si="39"/>
        <v>0</v>
      </c>
    </row>
    <row r="129" spans="1:27" s="207" customFormat="1" ht="24" customHeight="1">
      <c r="A129" s="234" t="s">
        <v>390</v>
      </c>
      <c r="B129" s="235"/>
      <c r="C129" s="235"/>
      <c r="D129" s="235">
        <v>4</v>
      </c>
      <c r="E129" s="235"/>
      <c r="F129" s="235"/>
      <c r="G129" s="235">
        <v>2</v>
      </c>
      <c r="H129" s="231" t="e">
        <f t="shared" si="22"/>
        <v>#DIV/0!</v>
      </c>
      <c r="I129" s="255"/>
      <c r="O129" s="251"/>
      <c r="P129" s="252"/>
      <c r="AA129" s="254">
        <f t="shared" si="39"/>
        <v>0</v>
      </c>
    </row>
    <row r="130" spans="1:27" s="207" customFormat="1" ht="24" customHeight="1">
      <c r="A130" s="234" t="s">
        <v>391</v>
      </c>
      <c r="B130" s="235"/>
      <c r="C130" s="235">
        <f>SUM(C131)</f>
        <v>0</v>
      </c>
      <c r="D130" s="235">
        <f>SUM(D131)</f>
        <v>6</v>
      </c>
      <c r="E130" s="235">
        <v>63</v>
      </c>
      <c r="F130" s="235">
        <f>SUM(F131)</f>
        <v>63</v>
      </c>
      <c r="G130" s="235">
        <f>SUM(G131)</f>
        <v>6</v>
      </c>
      <c r="H130" s="231" t="e">
        <f t="shared" si="22"/>
        <v>#DIV/0!</v>
      </c>
      <c r="I130" s="249"/>
      <c r="J130" s="250"/>
      <c r="O130" s="251"/>
      <c r="P130" s="252"/>
      <c r="AA130" s="254">
        <f t="shared" si="39"/>
        <v>0</v>
      </c>
    </row>
    <row r="131" spans="1:27" s="207" customFormat="1" ht="24" customHeight="1">
      <c r="A131" s="234" t="s">
        <v>392</v>
      </c>
      <c r="B131" s="235"/>
      <c r="C131" s="235"/>
      <c r="D131" s="235">
        <v>6</v>
      </c>
      <c r="E131" s="235">
        <v>63</v>
      </c>
      <c r="F131" s="235">
        <v>63</v>
      </c>
      <c r="G131" s="235">
        <v>6</v>
      </c>
      <c r="H131" s="231" t="e">
        <f aca="true" t="shared" si="41" ref="H131:H194">E131/B131</f>
        <v>#DIV/0!</v>
      </c>
      <c r="I131" s="255"/>
      <c r="O131" s="251"/>
      <c r="P131" s="252"/>
      <c r="AA131" s="254">
        <f t="shared" si="39"/>
        <v>0</v>
      </c>
    </row>
    <row r="132" spans="1:27" s="207" customFormat="1" ht="24" customHeight="1">
      <c r="A132" s="234" t="s">
        <v>393</v>
      </c>
      <c r="B132" s="235">
        <f aca="true" t="shared" si="42" ref="B132:G132">SUM(B133)</f>
        <v>195</v>
      </c>
      <c r="C132" s="235">
        <f t="shared" si="42"/>
        <v>195</v>
      </c>
      <c r="D132" s="235">
        <f t="shared" si="42"/>
        <v>0</v>
      </c>
      <c r="E132" s="235">
        <f t="shared" si="42"/>
        <v>173</v>
      </c>
      <c r="F132" s="235">
        <f t="shared" si="42"/>
        <v>173</v>
      </c>
      <c r="G132" s="235">
        <f t="shared" si="42"/>
        <v>0</v>
      </c>
      <c r="H132" s="231">
        <f t="shared" si="41"/>
        <v>0.8871794871794871</v>
      </c>
      <c r="I132" s="249"/>
      <c r="J132" s="250"/>
      <c r="O132" s="251"/>
      <c r="P132" s="252"/>
      <c r="AA132" s="254">
        <f t="shared" si="39"/>
        <v>0</v>
      </c>
    </row>
    <row r="133" spans="1:27" s="207" customFormat="1" ht="24" customHeight="1">
      <c r="A133" s="234" t="s">
        <v>394</v>
      </c>
      <c r="B133" s="235">
        <v>195</v>
      </c>
      <c r="C133" s="235">
        <v>195</v>
      </c>
      <c r="D133" s="235"/>
      <c r="E133" s="235">
        <v>173</v>
      </c>
      <c r="F133" s="235">
        <f>168+5</f>
        <v>173</v>
      </c>
      <c r="G133" s="235"/>
      <c r="H133" s="231">
        <f t="shared" si="41"/>
        <v>0.8871794871794871</v>
      </c>
      <c r="I133" s="255"/>
      <c r="O133" s="251"/>
      <c r="P133" s="252"/>
      <c r="AA133" s="254">
        <f t="shared" si="39"/>
        <v>0</v>
      </c>
    </row>
    <row r="134" spans="1:27" s="207" customFormat="1" ht="24" customHeight="1">
      <c r="A134" s="234" t="s">
        <v>395</v>
      </c>
      <c r="B134" s="235">
        <f aca="true" t="shared" si="43" ref="B134:G134">SUM(B135)</f>
        <v>248</v>
      </c>
      <c r="C134" s="235">
        <f t="shared" si="43"/>
        <v>248</v>
      </c>
      <c r="D134" s="235">
        <f t="shared" si="43"/>
        <v>10</v>
      </c>
      <c r="E134" s="235">
        <f t="shared" si="43"/>
        <v>224</v>
      </c>
      <c r="F134" s="235">
        <f t="shared" si="43"/>
        <v>224</v>
      </c>
      <c r="G134" s="235">
        <f t="shared" si="43"/>
        <v>13</v>
      </c>
      <c r="H134" s="231">
        <f t="shared" si="41"/>
        <v>0.9032258064516129</v>
      </c>
      <c r="I134" s="249"/>
      <c r="J134" s="250"/>
      <c r="O134" s="251"/>
      <c r="P134" s="252"/>
      <c r="AA134" s="254">
        <f t="shared" si="39"/>
        <v>0</v>
      </c>
    </row>
    <row r="135" spans="1:27" s="207" customFormat="1" ht="24" customHeight="1">
      <c r="A135" s="234" t="s">
        <v>396</v>
      </c>
      <c r="B135" s="235">
        <v>248</v>
      </c>
      <c r="C135" s="235">
        <v>248</v>
      </c>
      <c r="D135" s="235">
        <v>10</v>
      </c>
      <c r="E135" s="235">
        <v>224</v>
      </c>
      <c r="F135" s="235">
        <f>224</f>
        <v>224</v>
      </c>
      <c r="G135" s="235">
        <v>13</v>
      </c>
      <c r="H135" s="231">
        <f t="shared" si="41"/>
        <v>0.9032258064516129</v>
      </c>
      <c r="I135" s="255"/>
      <c r="O135" s="251"/>
      <c r="P135" s="252"/>
      <c r="AA135" s="254">
        <f t="shared" si="39"/>
        <v>0</v>
      </c>
    </row>
    <row r="136" spans="1:27" s="207" customFormat="1" ht="24" customHeight="1">
      <c r="A136" s="234" t="s">
        <v>397</v>
      </c>
      <c r="B136" s="235">
        <f aca="true" t="shared" si="44" ref="B136:G136">SUM(B137:B139)</f>
        <v>854</v>
      </c>
      <c r="C136" s="235">
        <f t="shared" si="44"/>
        <v>854</v>
      </c>
      <c r="D136" s="235">
        <f t="shared" si="44"/>
        <v>0</v>
      </c>
      <c r="E136" s="235">
        <f t="shared" si="44"/>
        <v>794</v>
      </c>
      <c r="F136" s="235">
        <f t="shared" si="44"/>
        <v>794</v>
      </c>
      <c r="G136" s="235">
        <f t="shared" si="44"/>
        <v>0</v>
      </c>
      <c r="H136" s="231">
        <f t="shared" si="41"/>
        <v>0.9297423887587822</v>
      </c>
      <c r="I136" s="255"/>
      <c r="O136" s="251"/>
      <c r="P136" s="252"/>
      <c r="AA136" s="254">
        <f t="shared" si="39"/>
        <v>0</v>
      </c>
    </row>
    <row r="137" spans="1:27" s="207" customFormat="1" ht="24" customHeight="1">
      <c r="A137" s="234" t="s">
        <v>398</v>
      </c>
      <c r="B137" s="235">
        <v>688</v>
      </c>
      <c r="C137" s="235">
        <f>688</f>
        <v>688</v>
      </c>
      <c r="D137" s="235"/>
      <c r="E137" s="235">
        <v>646</v>
      </c>
      <c r="F137" s="235">
        <f>639+7</f>
        <v>646</v>
      </c>
      <c r="G137" s="235"/>
      <c r="H137" s="231">
        <f t="shared" si="41"/>
        <v>0.938953488372093</v>
      </c>
      <c r="I137" s="255"/>
      <c r="O137" s="251"/>
      <c r="P137" s="252"/>
      <c r="AA137" s="254">
        <f t="shared" si="39"/>
        <v>0</v>
      </c>
    </row>
    <row r="138" spans="1:27" s="207" customFormat="1" ht="24" customHeight="1">
      <c r="A138" s="234" t="s">
        <v>399</v>
      </c>
      <c r="B138" s="235">
        <v>166</v>
      </c>
      <c r="C138" s="235">
        <f>149+17</f>
        <v>166</v>
      </c>
      <c r="D138" s="235"/>
      <c r="E138" s="235">
        <v>148</v>
      </c>
      <c r="F138" s="235">
        <f>133+15</f>
        <v>148</v>
      </c>
      <c r="G138" s="235"/>
      <c r="H138" s="231">
        <f t="shared" si="41"/>
        <v>0.891566265060241</v>
      </c>
      <c r="I138" s="255" t="s">
        <v>400</v>
      </c>
      <c r="O138" s="251"/>
      <c r="P138" s="252"/>
      <c r="AA138" s="254">
        <f t="shared" si="39"/>
        <v>0</v>
      </c>
    </row>
    <row r="139" spans="1:27" s="207" customFormat="1" ht="24" customHeight="1">
      <c r="A139" s="234" t="s">
        <v>401</v>
      </c>
      <c r="B139" s="235"/>
      <c r="C139" s="235"/>
      <c r="D139" s="235"/>
      <c r="E139" s="235"/>
      <c r="F139" s="235"/>
      <c r="G139" s="235"/>
      <c r="H139" s="231" t="e">
        <f t="shared" si="41"/>
        <v>#DIV/0!</v>
      </c>
      <c r="I139" s="255"/>
      <c r="O139" s="251"/>
      <c r="P139" s="252"/>
      <c r="AA139" s="254">
        <f t="shared" si="39"/>
        <v>0</v>
      </c>
    </row>
    <row r="140" spans="1:27" s="207" customFormat="1" ht="24" customHeight="1">
      <c r="A140" s="234" t="s">
        <v>402</v>
      </c>
      <c r="B140" s="235">
        <v>1500</v>
      </c>
      <c r="C140" s="235">
        <v>1500</v>
      </c>
      <c r="D140" s="235"/>
      <c r="E140" s="235">
        <v>1087</v>
      </c>
      <c r="F140" s="235">
        <v>1087</v>
      </c>
      <c r="G140" s="235"/>
      <c r="H140" s="231">
        <f t="shared" si="41"/>
        <v>0.7246666666666667</v>
      </c>
      <c r="I140" s="255"/>
      <c r="O140" s="251"/>
      <c r="P140" s="252"/>
      <c r="AA140" s="254"/>
    </row>
    <row r="141" spans="1:27" s="207" customFormat="1" ht="30" customHeight="1">
      <c r="A141" s="234" t="s">
        <v>403</v>
      </c>
      <c r="B141" s="235">
        <v>1500</v>
      </c>
      <c r="C141" s="235">
        <v>1500</v>
      </c>
      <c r="D141" s="235"/>
      <c r="E141" s="235">
        <v>1087</v>
      </c>
      <c r="F141" s="235">
        <v>1087</v>
      </c>
      <c r="G141" s="235"/>
      <c r="H141" s="231">
        <f t="shared" si="41"/>
        <v>0.7246666666666667</v>
      </c>
      <c r="I141" s="255"/>
      <c r="O141" s="251"/>
      <c r="P141" s="252"/>
      <c r="AA141" s="254"/>
    </row>
    <row r="142" spans="1:27" s="207" customFormat="1" ht="24" customHeight="1">
      <c r="A142" s="234" t="s">
        <v>404</v>
      </c>
      <c r="B142" s="235">
        <v>9</v>
      </c>
      <c r="C142" s="235">
        <v>9</v>
      </c>
      <c r="D142" s="235"/>
      <c r="E142" s="235">
        <v>21</v>
      </c>
      <c r="F142" s="235">
        <v>21</v>
      </c>
      <c r="G142" s="235"/>
      <c r="H142" s="231">
        <f t="shared" si="41"/>
        <v>2.3333333333333335</v>
      </c>
      <c r="I142" s="255"/>
      <c r="O142" s="251"/>
      <c r="P142" s="252"/>
      <c r="AA142" s="254"/>
    </row>
    <row r="143" spans="1:27" s="207" customFormat="1" ht="24" customHeight="1">
      <c r="A143" s="234" t="s">
        <v>405</v>
      </c>
      <c r="B143" s="235">
        <v>9</v>
      </c>
      <c r="C143" s="235">
        <v>9</v>
      </c>
      <c r="D143" s="235"/>
      <c r="E143" s="235">
        <v>21</v>
      </c>
      <c r="F143" s="235">
        <f>8+10+3</f>
        <v>21</v>
      </c>
      <c r="G143" s="235"/>
      <c r="H143" s="231">
        <f t="shared" si="41"/>
        <v>2.3333333333333335</v>
      </c>
      <c r="I143" s="255"/>
      <c r="O143" s="251"/>
      <c r="P143" s="252"/>
      <c r="AA143" s="254"/>
    </row>
    <row r="144" spans="1:27" s="205" customFormat="1" ht="24" customHeight="1">
      <c r="A144" s="232" t="s">
        <v>406</v>
      </c>
      <c r="B144" s="233">
        <f aca="true" t="shared" si="45" ref="B144:G144">B145+B149+B151</f>
        <v>880</v>
      </c>
      <c r="C144" s="233">
        <f t="shared" si="45"/>
        <v>880</v>
      </c>
      <c r="D144" s="233">
        <f t="shared" si="45"/>
        <v>0</v>
      </c>
      <c r="E144" s="233">
        <f t="shared" si="45"/>
        <v>969</v>
      </c>
      <c r="F144" s="233">
        <f t="shared" si="45"/>
        <v>969</v>
      </c>
      <c r="G144" s="233">
        <f t="shared" si="45"/>
        <v>0</v>
      </c>
      <c r="H144" s="231">
        <f t="shared" si="41"/>
        <v>1.1011363636363636</v>
      </c>
      <c r="I144" s="245"/>
      <c r="J144" s="246"/>
      <c r="O144" s="247"/>
      <c r="P144" s="248"/>
      <c r="AA144" s="263">
        <f aca="true" t="shared" si="46" ref="AA144:AA194">F144-E144</f>
        <v>0</v>
      </c>
    </row>
    <row r="145" spans="1:27" s="207" customFormat="1" ht="24" customHeight="1">
      <c r="A145" s="234" t="s">
        <v>407</v>
      </c>
      <c r="B145" s="235">
        <f aca="true" t="shared" si="47" ref="B145:G145">SUM(B146:B148)</f>
        <v>132</v>
      </c>
      <c r="C145" s="235">
        <f t="shared" si="47"/>
        <v>132</v>
      </c>
      <c r="D145" s="235">
        <f t="shared" si="47"/>
        <v>0</v>
      </c>
      <c r="E145" s="235">
        <f t="shared" si="47"/>
        <v>102</v>
      </c>
      <c r="F145" s="235">
        <f t="shared" si="47"/>
        <v>102</v>
      </c>
      <c r="G145" s="235">
        <f t="shared" si="47"/>
        <v>0</v>
      </c>
      <c r="H145" s="231">
        <f t="shared" si="41"/>
        <v>0.7727272727272727</v>
      </c>
      <c r="I145" s="249"/>
      <c r="J145" s="250"/>
      <c r="O145" s="251"/>
      <c r="P145" s="234"/>
      <c r="AA145" s="254">
        <f t="shared" si="46"/>
        <v>0</v>
      </c>
    </row>
    <row r="146" spans="1:27" s="207" customFormat="1" ht="24" customHeight="1">
      <c r="A146" s="234" t="s">
        <v>408</v>
      </c>
      <c r="B146" s="235">
        <v>132</v>
      </c>
      <c r="C146" s="235">
        <f>114+18</f>
        <v>132</v>
      </c>
      <c r="D146" s="235"/>
      <c r="E146" s="235">
        <v>102</v>
      </c>
      <c r="F146" s="235">
        <f>86+16</f>
        <v>102</v>
      </c>
      <c r="G146" s="235"/>
      <c r="H146" s="231">
        <f t="shared" si="41"/>
        <v>0.7727272727272727</v>
      </c>
      <c r="I146" s="255"/>
      <c r="O146" s="251"/>
      <c r="P146" s="252"/>
      <c r="AA146" s="254">
        <f t="shared" si="46"/>
        <v>0</v>
      </c>
    </row>
    <row r="147" spans="1:27" s="207" customFormat="1" ht="24" customHeight="1">
      <c r="A147" s="234" t="s">
        <v>409</v>
      </c>
      <c r="B147" s="235"/>
      <c r="C147" s="235"/>
      <c r="D147" s="235"/>
      <c r="E147" s="235"/>
      <c r="F147" s="235"/>
      <c r="G147" s="235"/>
      <c r="H147" s="231" t="e">
        <f t="shared" si="41"/>
        <v>#DIV/0!</v>
      </c>
      <c r="I147" s="255"/>
      <c r="O147" s="251"/>
      <c r="P147" s="252"/>
      <c r="AA147" s="254">
        <f t="shared" si="46"/>
        <v>0</v>
      </c>
    </row>
    <row r="148" spans="1:27" s="207" customFormat="1" ht="34.5" customHeight="1">
      <c r="A148" s="234" t="s">
        <v>410</v>
      </c>
      <c r="B148" s="235"/>
      <c r="C148" s="235"/>
      <c r="D148" s="235"/>
      <c r="E148" s="235"/>
      <c r="F148" s="235"/>
      <c r="G148" s="235"/>
      <c r="H148" s="231" t="e">
        <f t="shared" si="41"/>
        <v>#DIV/0!</v>
      </c>
      <c r="I148" s="255"/>
      <c r="O148" s="251"/>
      <c r="P148" s="252"/>
      <c r="AA148" s="254">
        <f t="shared" si="46"/>
        <v>0</v>
      </c>
    </row>
    <row r="149" spans="1:27" s="207" customFormat="1" ht="24" customHeight="1">
      <c r="A149" s="234" t="s">
        <v>411</v>
      </c>
      <c r="B149" s="235">
        <f aca="true" t="shared" si="48" ref="B149:G149">SUM(B150)</f>
        <v>0</v>
      </c>
      <c r="C149" s="235">
        <f t="shared" si="48"/>
        <v>0</v>
      </c>
      <c r="D149" s="235">
        <f t="shared" si="48"/>
        <v>0</v>
      </c>
      <c r="E149" s="235">
        <f t="shared" si="48"/>
        <v>0</v>
      </c>
      <c r="F149" s="235">
        <f t="shared" si="48"/>
        <v>0</v>
      </c>
      <c r="G149" s="235">
        <f t="shared" si="48"/>
        <v>0</v>
      </c>
      <c r="H149" s="231" t="e">
        <f t="shared" si="41"/>
        <v>#DIV/0!</v>
      </c>
      <c r="I149" s="249"/>
      <c r="J149" s="250"/>
      <c r="O149" s="251"/>
      <c r="P149" s="234"/>
      <c r="AA149" s="254">
        <f t="shared" si="46"/>
        <v>0</v>
      </c>
    </row>
    <row r="150" spans="1:27" s="207" customFormat="1" ht="24" customHeight="1">
      <c r="A150" s="234" t="s">
        <v>412</v>
      </c>
      <c r="B150" s="235"/>
      <c r="C150" s="235"/>
      <c r="D150" s="235"/>
      <c r="E150" s="235"/>
      <c r="F150" s="235"/>
      <c r="G150" s="235"/>
      <c r="H150" s="231" t="e">
        <f t="shared" si="41"/>
        <v>#DIV/0!</v>
      </c>
      <c r="I150" s="269"/>
      <c r="O150" s="251"/>
      <c r="P150" s="252"/>
      <c r="AA150" s="254">
        <f t="shared" si="46"/>
        <v>0</v>
      </c>
    </row>
    <row r="151" spans="1:27" s="207" customFormat="1" ht="24" customHeight="1">
      <c r="A151" s="234" t="s">
        <v>413</v>
      </c>
      <c r="B151" s="235">
        <f aca="true" t="shared" si="49" ref="B151:G151">SUM(B152)</f>
        <v>748</v>
      </c>
      <c r="C151" s="235">
        <f t="shared" si="49"/>
        <v>748</v>
      </c>
      <c r="D151" s="235">
        <f t="shared" si="49"/>
        <v>0</v>
      </c>
      <c r="E151" s="235">
        <f t="shared" si="49"/>
        <v>867</v>
      </c>
      <c r="F151" s="235">
        <f t="shared" si="49"/>
        <v>867</v>
      </c>
      <c r="G151" s="235">
        <f t="shared" si="49"/>
        <v>0</v>
      </c>
      <c r="H151" s="231">
        <f t="shared" si="41"/>
        <v>1.1590909090909092</v>
      </c>
      <c r="I151" s="249"/>
      <c r="J151" s="250"/>
      <c r="O151" s="251"/>
      <c r="P151" s="252"/>
      <c r="AA151" s="254">
        <f t="shared" si="46"/>
        <v>0</v>
      </c>
    </row>
    <row r="152" spans="1:252" s="207" customFormat="1" ht="24" customHeight="1">
      <c r="A152" s="234" t="s">
        <v>414</v>
      </c>
      <c r="B152" s="235">
        <v>748</v>
      </c>
      <c r="C152" s="235">
        <f>748</f>
        <v>748</v>
      </c>
      <c r="D152" s="235"/>
      <c r="E152" s="235">
        <v>867</v>
      </c>
      <c r="F152" s="235">
        <v>867</v>
      </c>
      <c r="G152" s="235"/>
      <c r="H152" s="231">
        <f t="shared" si="41"/>
        <v>1.1590909090909092</v>
      </c>
      <c r="I152" s="255" t="s">
        <v>415</v>
      </c>
      <c r="J152" s="254"/>
      <c r="K152" s="254"/>
      <c r="L152" s="254"/>
      <c r="M152" s="254"/>
      <c r="N152" s="254"/>
      <c r="O152" s="251"/>
      <c r="P152" s="252"/>
      <c r="X152" s="262"/>
      <c r="Y152" s="262"/>
      <c r="Z152" s="262"/>
      <c r="AA152" s="254">
        <f t="shared" si="46"/>
        <v>0</v>
      </c>
      <c r="AB152" s="262"/>
      <c r="AC152" s="262"/>
      <c r="AD152" s="262"/>
      <c r="AE152" s="262"/>
      <c r="AF152" s="262"/>
      <c r="AG152" s="262"/>
      <c r="AH152" s="262"/>
      <c r="AI152" s="262"/>
      <c r="AJ152" s="262"/>
      <c r="AK152" s="262"/>
      <c r="AL152" s="262"/>
      <c r="AM152" s="262"/>
      <c r="AN152" s="262"/>
      <c r="AO152" s="262"/>
      <c r="AP152" s="262"/>
      <c r="AQ152" s="262"/>
      <c r="AR152" s="262"/>
      <c r="AS152" s="262"/>
      <c r="AT152" s="262"/>
      <c r="AU152" s="262"/>
      <c r="AV152" s="262"/>
      <c r="AW152" s="262"/>
      <c r="AX152" s="262"/>
      <c r="AY152" s="262"/>
      <c r="AZ152" s="262"/>
      <c r="BA152" s="262"/>
      <c r="BB152" s="262"/>
      <c r="BC152" s="262"/>
      <c r="BD152" s="262"/>
      <c r="BE152" s="262"/>
      <c r="BF152" s="262"/>
      <c r="BG152" s="262"/>
      <c r="BH152" s="262"/>
      <c r="BI152" s="262"/>
      <c r="BJ152" s="262"/>
      <c r="BK152" s="262"/>
      <c r="BL152" s="262"/>
      <c r="BM152" s="262"/>
      <c r="BN152" s="262"/>
      <c r="BO152" s="262"/>
      <c r="BP152" s="262"/>
      <c r="BQ152" s="262"/>
      <c r="BR152" s="262"/>
      <c r="BS152" s="262"/>
      <c r="BT152" s="262"/>
      <c r="BU152" s="262"/>
      <c r="BV152" s="262"/>
      <c r="BW152" s="262"/>
      <c r="BX152" s="262"/>
      <c r="BY152" s="262"/>
      <c r="BZ152" s="262"/>
      <c r="CA152" s="262"/>
      <c r="CB152" s="262"/>
      <c r="CC152" s="262"/>
      <c r="CD152" s="262"/>
      <c r="CE152" s="262"/>
      <c r="CF152" s="262"/>
      <c r="CG152" s="262"/>
      <c r="CH152" s="262"/>
      <c r="CI152" s="262"/>
      <c r="CJ152" s="262"/>
      <c r="CK152" s="262"/>
      <c r="CL152" s="262"/>
      <c r="CM152" s="262"/>
      <c r="CN152" s="262"/>
      <c r="CO152" s="262"/>
      <c r="CP152" s="262"/>
      <c r="CQ152" s="262"/>
      <c r="CR152" s="262"/>
      <c r="CS152" s="262"/>
      <c r="CT152" s="262"/>
      <c r="CU152" s="262"/>
      <c r="CV152" s="262"/>
      <c r="CW152" s="262"/>
      <c r="CX152" s="262"/>
      <c r="CY152" s="262"/>
      <c r="CZ152" s="262"/>
      <c r="DA152" s="262"/>
      <c r="DB152" s="262"/>
      <c r="DC152" s="262"/>
      <c r="DD152" s="262"/>
      <c r="DE152" s="262"/>
      <c r="DF152" s="262"/>
      <c r="DG152" s="262"/>
      <c r="DH152" s="262"/>
      <c r="DI152" s="262"/>
      <c r="DJ152" s="262"/>
      <c r="DK152" s="262"/>
      <c r="DL152" s="262"/>
      <c r="DM152" s="262"/>
      <c r="DN152" s="262"/>
      <c r="DO152" s="262"/>
      <c r="DP152" s="262"/>
      <c r="DQ152" s="262"/>
      <c r="DR152" s="262"/>
      <c r="DS152" s="262"/>
      <c r="DT152" s="262"/>
      <c r="DU152" s="262"/>
      <c r="DV152" s="262"/>
      <c r="DW152" s="262"/>
      <c r="DX152" s="262"/>
      <c r="DY152" s="262"/>
      <c r="DZ152" s="262"/>
      <c r="EA152" s="262"/>
      <c r="EB152" s="262"/>
      <c r="EC152" s="262"/>
      <c r="ED152" s="262"/>
      <c r="EE152" s="262"/>
      <c r="EF152" s="262"/>
      <c r="EG152" s="262"/>
      <c r="EH152" s="262"/>
      <c r="EI152" s="262"/>
      <c r="EJ152" s="262"/>
      <c r="EK152" s="262"/>
      <c r="EL152" s="262"/>
      <c r="EM152" s="262"/>
      <c r="EN152" s="262"/>
      <c r="EO152" s="262"/>
      <c r="EP152" s="262"/>
      <c r="EQ152" s="262"/>
      <c r="ER152" s="262"/>
      <c r="ES152" s="262"/>
      <c r="ET152" s="262"/>
      <c r="EU152" s="262"/>
      <c r="EV152" s="262"/>
      <c r="EW152" s="262"/>
      <c r="EX152" s="262"/>
      <c r="EY152" s="262"/>
      <c r="EZ152" s="262"/>
      <c r="FA152" s="262"/>
      <c r="FB152" s="262"/>
      <c r="FC152" s="262"/>
      <c r="FD152" s="262"/>
      <c r="FE152" s="262"/>
      <c r="FF152" s="262"/>
      <c r="FG152" s="262"/>
      <c r="FH152" s="262"/>
      <c r="FI152" s="262"/>
      <c r="FJ152" s="262"/>
      <c r="FK152" s="262"/>
      <c r="FL152" s="262"/>
      <c r="FM152" s="262"/>
      <c r="FN152" s="262"/>
      <c r="FO152" s="262"/>
      <c r="FP152" s="262"/>
      <c r="FQ152" s="262"/>
      <c r="FR152" s="262"/>
      <c r="FS152" s="262"/>
      <c r="FT152" s="262"/>
      <c r="FU152" s="262"/>
      <c r="FV152" s="262"/>
      <c r="FW152" s="262"/>
      <c r="FX152" s="262"/>
      <c r="FY152" s="262"/>
      <c r="FZ152" s="262"/>
      <c r="GA152" s="262"/>
      <c r="GB152" s="262"/>
      <c r="GC152" s="262"/>
      <c r="GD152" s="262"/>
      <c r="GE152" s="262"/>
      <c r="GF152" s="262"/>
      <c r="GG152" s="262"/>
      <c r="GH152" s="262"/>
      <c r="GI152" s="262"/>
      <c r="GJ152" s="262"/>
      <c r="GK152" s="262"/>
      <c r="GL152" s="262"/>
      <c r="GM152" s="262"/>
      <c r="GN152" s="262"/>
      <c r="GO152" s="262"/>
      <c r="GP152" s="262"/>
      <c r="GQ152" s="262"/>
      <c r="GR152" s="262"/>
      <c r="GS152" s="262"/>
      <c r="GT152" s="262"/>
      <c r="GU152" s="262"/>
      <c r="GV152" s="262"/>
      <c r="GW152" s="262"/>
      <c r="GX152" s="262"/>
      <c r="GY152" s="262"/>
      <c r="GZ152" s="262"/>
      <c r="HA152" s="262"/>
      <c r="HB152" s="262"/>
      <c r="HC152" s="262"/>
      <c r="HD152" s="262"/>
      <c r="HE152" s="262"/>
      <c r="HF152" s="262"/>
      <c r="HG152" s="262"/>
      <c r="HH152" s="262"/>
      <c r="HI152" s="262"/>
      <c r="HJ152" s="262"/>
      <c r="HK152" s="262"/>
      <c r="HL152" s="262"/>
      <c r="HM152" s="262"/>
      <c r="HN152" s="262"/>
      <c r="HO152" s="262"/>
      <c r="HP152" s="265"/>
      <c r="HQ152" s="265"/>
      <c r="HR152" s="265"/>
      <c r="HS152" s="265"/>
      <c r="HT152" s="265"/>
      <c r="HU152" s="265"/>
      <c r="HV152" s="265"/>
      <c r="HW152" s="265"/>
      <c r="HX152" s="265"/>
      <c r="HY152" s="265"/>
      <c r="HZ152" s="265"/>
      <c r="IA152" s="265"/>
      <c r="IB152" s="265"/>
      <c r="IC152" s="265"/>
      <c r="ID152" s="265"/>
      <c r="IE152" s="265"/>
      <c r="IF152" s="265"/>
      <c r="IG152" s="265"/>
      <c r="IH152" s="265"/>
      <c r="II152" s="265"/>
      <c r="IJ152" s="265"/>
      <c r="IK152" s="265"/>
      <c r="IL152" s="265"/>
      <c r="IM152" s="265"/>
      <c r="IN152" s="265"/>
      <c r="IO152" s="265"/>
      <c r="IP152" s="265"/>
      <c r="IQ152" s="265"/>
      <c r="IR152" s="265"/>
    </row>
    <row r="153" spans="1:27" s="205" customFormat="1" ht="28.5" customHeight="1">
      <c r="A153" s="232" t="s">
        <v>416</v>
      </c>
      <c r="B153" s="233">
        <f aca="true" t="shared" si="50" ref="B153:G153">B154+B160+B164+B167+B171</f>
        <v>1122</v>
      </c>
      <c r="C153" s="233">
        <f t="shared" si="50"/>
        <v>1122</v>
      </c>
      <c r="D153" s="233">
        <f t="shared" si="50"/>
        <v>319</v>
      </c>
      <c r="E153" s="233">
        <f t="shared" si="50"/>
        <v>1023</v>
      </c>
      <c r="F153" s="233">
        <f t="shared" si="50"/>
        <v>1023</v>
      </c>
      <c r="G153" s="233">
        <f t="shared" si="50"/>
        <v>584</v>
      </c>
      <c r="H153" s="231">
        <f t="shared" si="41"/>
        <v>0.9117647058823529</v>
      </c>
      <c r="I153" s="245"/>
      <c r="J153" s="246"/>
      <c r="O153" s="247"/>
      <c r="P153" s="248"/>
      <c r="Q153" s="261"/>
      <c r="R153" s="261"/>
      <c r="S153" s="261"/>
      <c r="AA153" s="263">
        <f t="shared" si="46"/>
        <v>0</v>
      </c>
    </row>
    <row r="154" spans="1:27" s="207" customFormat="1" ht="24" customHeight="1">
      <c r="A154" s="234" t="s">
        <v>417</v>
      </c>
      <c r="B154" s="235">
        <f aca="true" t="shared" si="51" ref="B154:G154">SUM(B155:B159)</f>
        <v>702</v>
      </c>
      <c r="C154" s="235">
        <f t="shared" si="51"/>
        <v>702</v>
      </c>
      <c r="D154" s="235">
        <f t="shared" si="51"/>
        <v>0</v>
      </c>
      <c r="E154" s="235">
        <f t="shared" si="51"/>
        <v>616</v>
      </c>
      <c r="F154" s="235">
        <f t="shared" si="51"/>
        <v>616</v>
      </c>
      <c r="G154" s="235">
        <f t="shared" si="51"/>
        <v>5</v>
      </c>
      <c r="H154" s="231">
        <f t="shared" si="41"/>
        <v>0.8774928774928775</v>
      </c>
      <c r="I154" s="249"/>
      <c r="J154" s="250"/>
      <c r="O154" s="251"/>
      <c r="P154" s="252"/>
      <c r="AA154" s="254">
        <f t="shared" si="46"/>
        <v>0</v>
      </c>
    </row>
    <row r="155" spans="1:27" s="207" customFormat="1" ht="24" customHeight="1">
      <c r="A155" s="234" t="s">
        <v>418</v>
      </c>
      <c r="B155" s="235">
        <v>560</v>
      </c>
      <c r="C155" s="235">
        <f>383+177</f>
        <v>560</v>
      </c>
      <c r="D155" s="235"/>
      <c r="E155" s="235">
        <v>485</v>
      </c>
      <c r="F155" s="235">
        <f>270+55+160</f>
        <v>485</v>
      </c>
      <c r="G155" s="235"/>
      <c r="H155" s="231">
        <f t="shared" si="41"/>
        <v>0.8660714285714286</v>
      </c>
      <c r="I155" s="255"/>
      <c r="O155" s="251"/>
      <c r="P155" s="252"/>
      <c r="AA155" s="254">
        <f t="shared" si="46"/>
        <v>0</v>
      </c>
    </row>
    <row r="156" spans="1:252" s="207" customFormat="1" ht="24" customHeight="1">
      <c r="A156" s="234" t="s">
        <v>409</v>
      </c>
      <c r="B156" s="235"/>
      <c r="C156" s="235"/>
      <c r="D156" s="235"/>
      <c r="E156" s="235"/>
      <c r="F156" s="235"/>
      <c r="G156" s="235"/>
      <c r="H156" s="231" t="e">
        <f t="shared" si="41"/>
        <v>#DIV/0!</v>
      </c>
      <c r="I156" s="255"/>
      <c r="J156" s="254"/>
      <c r="K156" s="254"/>
      <c r="L156" s="254"/>
      <c r="M156" s="254"/>
      <c r="N156" s="254"/>
      <c r="O156" s="251"/>
      <c r="P156" s="252"/>
      <c r="X156" s="262"/>
      <c r="Y156" s="262"/>
      <c r="Z156" s="262"/>
      <c r="AA156" s="254">
        <f t="shared" si="46"/>
        <v>0</v>
      </c>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2"/>
      <c r="BC156" s="262"/>
      <c r="BD156" s="262"/>
      <c r="BE156" s="262"/>
      <c r="BF156" s="262"/>
      <c r="BG156" s="262"/>
      <c r="BH156" s="262"/>
      <c r="BI156" s="262"/>
      <c r="BJ156" s="262"/>
      <c r="BK156" s="262"/>
      <c r="BL156" s="262"/>
      <c r="BM156" s="262"/>
      <c r="BN156" s="262"/>
      <c r="BO156" s="262"/>
      <c r="BP156" s="262"/>
      <c r="BQ156" s="262"/>
      <c r="BR156" s="262"/>
      <c r="BS156" s="262"/>
      <c r="BT156" s="262"/>
      <c r="BU156" s="262"/>
      <c r="BV156" s="262"/>
      <c r="BW156" s="262"/>
      <c r="BX156" s="262"/>
      <c r="BY156" s="262"/>
      <c r="BZ156" s="262"/>
      <c r="CA156" s="262"/>
      <c r="CB156" s="262"/>
      <c r="CC156" s="262"/>
      <c r="CD156" s="262"/>
      <c r="CE156" s="262"/>
      <c r="CF156" s="262"/>
      <c r="CG156" s="262"/>
      <c r="CH156" s="262"/>
      <c r="CI156" s="262"/>
      <c r="CJ156" s="262"/>
      <c r="CK156" s="262"/>
      <c r="CL156" s="262"/>
      <c r="CM156" s="262"/>
      <c r="CN156" s="262"/>
      <c r="CO156" s="262"/>
      <c r="CP156" s="262"/>
      <c r="CQ156" s="262"/>
      <c r="CR156" s="262"/>
      <c r="CS156" s="262"/>
      <c r="CT156" s="262"/>
      <c r="CU156" s="262"/>
      <c r="CV156" s="262"/>
      <c r="CW156" s="262"/>
      <c r="CX156" s="262"/>
      <c r="CY156" s="262"/>
      <c r="CZ156" s="262"/>
      <c r="DA156" s="262"/>
      <c r="DB156" s="262"/>
      <c r="DC156" s="262"/>
      <c r="DD156" s="262"/>
      <c r="DE156" s="262"/>
      <c r="DF156" s="262"/>
      <c r="DG156" s="262"/>
      <c r="DH156" s="262"/>
      <c r="DI156" s="262"/>
      <c r="DJ156" s="262"/>
      <c r="DK156" s="262"/>
      <c r="DL156" s="262"/>
      <c r="DM156" s="262"/>
      <c r="DN156" s="262"/>
      <c r="DO156" s="262"/>
      <c r="DP156" s="262"/>
      <c r="DQ156" s="262"/>
      <c r="DR156" s="262"/>
      <c r="DS156" s="262"/>
      <c r="DT156" s="262"/>
      <c r="DU156" s="262"/>
      <c r="DV156" s="262"/>
      <c r="DW156" s="262"/>
      <c r="DX156" s="262"/>
      <c r="DY156" s="262"/>
      <c r="DZ156" s="262"/>
      <c r="EA156" s="262"/>
      <c r="EB156" s="262"/>
      <c r="EC156" s="262"/>
      <c r="ED156" s="262"/>
      <c r="EE156" s="262"/>
      <c r="EF156" s="262"/>
      <c r="EG156" s="262"/>
      <c r="EH156" s="262"/>
      <c r="EI156" s="262"/>
      <c r="EJ156" s="262"/>
      <c r="EK156" s="262"/>
      <c r="EL156" s="262"/>
      <c r="EM156" s="262"/>
      <c r="EN156" s="262"/>
      <c r="EO156" s="262"/>
      <c r="EP156" s="262"/>
      <c r="EQ156" s="262"/>
      <c r="ER156" s="262"/>
      <c r="ES156" s="262"/>
      <c r="ET156" s="262"/>
      <c r="EU156" s="262"/>
      <c r="EV156" s="262"/>
      <c r="EW156" s="262"/>
      <c r="EX156" s="262"/>
      <c r="EY156" s="262"/>
      <c r="EZ156" s="262"/>
      <c r="FA156" s="262"/>
      <c r="FB156" s="262"/>
      <c r="FC156" s="262"/>
      <c r="FD156" s="262"/>
      <c r="FE156" s="262"/>
      <c r="FF156" s="262"/>
      <c r="FG156" s="262"/>
      <c r="FH156" s="262"/>
      <c r="FI156" s="262"/>
      <c r="FJ156" s="262"/>
      <c r="FK156" s="262"/>
      <c r="FL156" s="262"/>
      <c r="FM156" s="262"/>
      <c r="FN156" s="262"/>
      <c r="FO156" s="262"/>
      <c r="FP156" s="262"/>
      <c r="FQ156" s="262"/>
      <c r="FR156" s="262"/>
      <c r="FS156" s="262"/>
      <c r="FT156" s="262"/>
      <c r="FU156" s="262"/>
      <c r="FV156" s="262"/>
      <c r="FW156" s="262"/>
      <c r="FX156" s="262"/>
      <c r="FY156" s="262"/>
      <c r="FZ156" s="262"/>
      <c r="GA156" s="262"/>
      <c r="GB156" s="262"/>
      <c r="GC156" s="262"/>
      <c r="GD156" s="262"/>
      <c r="GE156" s="262"/>
      <c r="GF156" s="262"/>
      <c r="GG156" s="262"/>
      <c r="GH156" s="262"/>
      <c r="GI156" s="262"/>
      <c r="GJ156" s="262"/>
      <c r="GK156" s="262"/>
      <c r="GL156" s="262"/>
      <c r="GM156" s="262"/>
      <c r="GN156" s="262"/>
      <c r="GO156" s="262"/>
      <c r="GP156" s="262"/>
      <c r="GQ156" s="262"/>
      <c r="GR156" s="262"/>
      <c r="GS156" s="262"/>
      <c r="GT156" s="262"/>
      <c r="GU156" s="262"/>
      <c r="GV156" s="262"/>
      <c r="GW156" s="262"/>
      <c r="GX156" s="262"/>
      <c r="GY156" s="262"/>
      <c r="GZ156" s="262"/>
      <c r="HA156" s="262"/>
      <c r="HB156" s="262"/>
      <c r="HC156" s="262"/>
      <c r="HD156" s="262"/>
      <c r="HE156" s="262"/>
      <c r="HF156" s="262"/>
      <c r="HG156" s="262"/>
      <c r="HH156" s="262"/>
      <c r="HI156" s="262"/>
      <c r="HJ156" s="262"/>
      <c r="HK156" s="262"/>
      <c r="HL156" s="262"/>
      <c r="HM156" s="262"/>
      <c r="HN156" s="262"/>
      <c r="HO156" s="262"/>
      <c r="HP156" s="265"/>
      <c r="HQ156" s="265"/>
      <c r="HR156" s="265"/>
      <c r="HS156" s="265"/>
      <c r="HT156" s="265"/>
      <c r="HU156" s="265"/>
      <c r="HV156" s="265"/>
      <c r="HW156" s="265"/>
      <c r="HX156" s="265"/>
      <c r="HY156" s="265"/>
      <c r="HZ156" s="265"/>
      <c r="IA156" s="265"/>
      <c r="IB156" s="265"/>
      <c r="IC156" s="265"/>
      <c r="ID156" s="265"/>
      <c r="IE156" s="265"/>
      <c r="IF156" s="265"/>
      <c r="IG156" s="265"/>
      <c r="IH156" s="265"/>
      <c r="II156" s="265"/>
      <c r="IJ156" s="265"/>
      <c r="IK156" s="265"/>
      <c r="IL156" s="265"/>
      <c r="IM156" s="265"/>
      <c r="IN156" s="265"/>
      <c r="IO156" s="265"/>
      <c r="IP156" s="265"/>
      <c r="IQ156" s="265"/>
      <c r="IR156" s="265"/>
    </row>
    <row r="157" spans="1:252" s="207" customFormat="1" ht="24" customHeight="1">
      <c r="A157" s="234" t="s">
        <v>419</v>
      </c>
      <c r="B157" s="235"/>
      <c r="C157" s="235"/>
      <c r="D157" s="235"/>
      <c r="E157" s="235"/>
      <c r="F157" s="235"/>
      <c r="G157" s="235"/>
      <c r="H157" s="231" t="e">
        <f t="shared" si="41"/>
        <v>#DIV/0!</v>
      </c>
      <c r="I157" s="255"/>
      <c r="J157" s="254"/>
      <c r="K157" s="254"/>
      <c r="L157" s="254"/>
      <c r="M157" s="254"/>
      <c r="N157" s="254"/>
      <c r="O157" s="251"/>
      <c r="P157" s="252"/>
      <c r="X157" s="262"/>
      <c r="Y157" s="262"/>
      <c r="Z157" s="262"/>
      <c r="AA157" s="254">
        <f t="shared" si="46"/>
        <v>0</v>
      </c>
      <c r="AB157" s="262"/>
      <c r="AC157" s="262"/>
      <c r="AD157" s="262"/>
      <c r="AE157" s="262"/>
      <c r="AF157" s="262"/>
      <c r="AG157" s="262"/>
      <c r="AH157" s="262"/>
      <c r="AI157" s="262"/>
      <c r="AJ157" s="262"/>
      <c r="AK157" s="262"/>
      <c r="AL157" s="262"/>
      <c r="AM157" s="262"/>
      <c r="AN157" s="262"/>
      <c r="AO157" s="262"/>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2"/>
      <c r="BP157" s="262"/>
      <c r="BQ157" s="262"/>
      <c r="BR157" s="262"/>
      <c r="BS157" s="262"/>
      <c r="BT157" s="262"/>
      <c r="BU157" s="262"/>
      <c r="BV157" s="262"/>
      <c r="BW157" s="262"/>
      <c r="BX157" s="262"/>
      <c r="BY157" s="262"/>
      <c r="BZ157" s="262"/>
      <c r="CA157" s="262"/>
      <c r="CB157" s="262"/>
      <c r="CC157" s="262"/>
      <c r="CD157" s="262"/>
      <c r="CE157" s="262"/>
      <c r="CF157" s="262"/>
      <c r="CG157" s="262"/>
      <c r="CH157" s="262"/>
      <c r="CI157" s="262"/>
      <c r="CJ157" s="262"/>
      <c r="CK157" s="262"/>
      <c r="CL157" s="262"/>
      <c r="CM157" s="262"/>
      <c r="CN157" s="262"/>
      <c r="CO157" s="262"/>
      <c r="CP157" s="262"/>
      <c r="CQ157" s="262"/>
      <c r="CR157" s="262"/>
      <c r="CS157" s="262"/>
      <c r="CT157" s="262"/>
      <c r="CU157" s="262"/>
      <c r="CV157" s="262"/>
      <c r="CW157" s="262"/>
      <c r="CX157" s="262"/>
      <c r="CY157" s="262"/>
      <c r="CZ157" s="262"/>
      <c r="DA157" s="262"/>
      <c r="DB157" s="262"/>
      <c r="DC157" s="262"/>
      <c r="DD157" s="262"/>
      <c r="DE157" s="262"/>
      <c r="DF157" s="262"/>
      <c r="DG157" s="262"/>
      <c r="DH157" s="262"/>
      <c r="DI157" s="262"/>
      <c r="DJ157" s="262"/>
      <c r="DK157" s="262"/>
      <c r="DL157" s="262"/>
      <c r="DM157" s="262"/>
      <c r="DN157" s="262"/>
      <c r="DO157" s="262"/>
      <c r="DP157" s="262"/>
      <c r="DQ157" s="262"/>
      <c r="DR157" s="262"/>
      <c r="DS157" s="262"/>
      <c r="DT157" s="262"/>
      <c r="DU157" s="262"/>
      <c r="DV157" s="262"/>
      <c r="DW157" s="262"/>
      <c r="DX157" s="262"/>
      <c r="DY157" s="262"/>
      <c r="DZ157" s="262"/>
      <c r="EA157" s="262"/>
      <c r="EB157" s="262"/>
      <c r="EC157" s="262"/>
      <c r="ED157" s="262"/>
      <c r="EE157" s="262"/>
      <c r="EF157" s="262"/>
      <c r="EG157" s="262"/>
      <c r="EH157" s="262"/>
      <c r="EI157" s="262"/>
      <c r="EJ157" s="262"/>
      <c r="EK157" s="262"/>
      <c r="EL157" s="262"/>
      <c r="EM157" s="262"/>
      <c r="EN157" s="262"/>
      <c r="EO157" s="262"/>
      <c r="EP157" s="262"/>
      <c r="EQ157" s="262"/>
      <c r="ER157" s="262"/>
      <c r="ES157" s="262"/>
      <c r="ET157" s="262"/>
      <c r="EU157" s="262"/>
      <c r="EV157" s="262"/>
      <c r="EW157" s="262"/>
      <c r="EX157" s="262"/>
      <c r="EY157" s="262"/>
      <c r="EZ157" s="262"/>
      <c r="FA157" s="262"/>
      <c r="FB157" s="262"/>
      <c r="FC157" s="262"/>
      <c r="FD157" s="262"/>
      <c r="FE157" s="262"/>
      <c r="FF157" s="262"/>
      <c r="FG157" s="262"/>
      <c r="FH157" s="262"/>
      <c r="FI157" s="262"/>
      <c r="FJ157" s="262"/>
      <c r="FK157" s="262"/>
      <c r="FL157" s="262"/>
      <c r="FM157" s="262"/>
      <c r="FN157" s="262"/>
      <c r="FO157" s="262"/>
      <c r="FP157" s="262"/>
      <c r="FQ157" s="262"/>
      <c r="FR157" s="262"/>
      <c r="FS157" s="262"/>
      <c r="FT157" s="262"/>
      <c r="FU157" s="262"/>
      <c r="FV157" s="262"/>
      <c r="FW157" s="262"/>
      <c r="FX157" s="262"/>
      <c r="FY157" s="262"/>
      <c r="FZ157" s="262"/>
      <c r="GA157" s="262"/>
      <c r="GB157" s="262"/>
      <c r="GC157" s="262"/>
      <c r="GD157" s="262"/>
      <c r="GE157" s="262"/>
      <c r="GF157" s="262"/>
      <c r="GG157" s="262"/>
      <c r="GH157" s="262"/>
      <c r="GI157" s="262"/>
      <c r="GJ157" s="262"/>
      <c r="GK157" s="262"/>
      <c r="GL157" s="262"/>
      <c r="GM157" s="262"/>
      <c r="GN157" s="262"/>
      <c r="GO157" s="262"/>
      <c r="GP157" s="262"/>
      <c r="GQ157" s="262"/>
      <c r="GR157" s="262"/>
      <c r="GS157" s="262"/>
      <c r="GT157" s="262"/>
      <c r="GU157" s="262"/>
      <c r="GV157" s="262"/>
      <c r="GW157" s="262"/>
      <c r="GX157" s="262"/>
      <c r="GY157" s="262"/>
      <c r="GZ157" s="262"/>
      <c r="HA157" s="262"/>
      <c r="HB157" s="262"/>
      <c r="HC157" s="262"/>
      <c r="HD157" s="262"/>
      <c r="HE157" s="262"/>
      <c r="HF157" s="262"/>
      <c r="HG157" s="262"/>
      <c r="HH157" s="262"/>
      <c r="HI157" s="262"/>
      <c r="HJ157" s="262"/>
      <c r="HK157" s="262"/>
      <c r="HL157" s="262"/>
      <c r="HM157" s="262"/>
      <c r="HN157" s="262"/>
      <c r="HO157" s="262"/>
      <c r="HP157" s="265"/>
      <c r="HQ157" s="265"/>
      <c r="HR157" s="265"/>
      <c r="HS157" s="265"/>
      <c r="HT157" s="265"/>
      <c r="HU157" s="265"/>
      <c r="HV157" s="265"/>
      <c r="HW157" s="265"/>
      <c r="HX157" s="265"/>
      <c r="HY157" s="265"/>
      <c r="HZ157" s="265"/>
      <c r="IA157" s="265"/>
      <c r="IB157" s="265"/>
      <c r="IC157" s="265"/>
      <c r="ID157" s="265"/>
      <c r="IE157" s="265"/>
      <c r="IF157" s="265"/>
      <c r="IG157" s="265"/>
      <c r="IH157" s="265"/>
      <c r="II157" s="265"/>
      <c r="IJ157" s="265"/>
      <c r="IK157" s="265"/>
      <c r="IL157" s="265"/>
      <c r="IM157" s="265"/>
      <c r="IN157" s="265"/>
      <c r="IO157" s="265"/>
      <c r="IP157" s="265"/>
      <c r="IQ157" s="265"/>
      <c r="IR157" s="265"/>
    </row>
    <row r="158" spans="1:27" s="207" customFormat="1" ht="24" customHeight="1">
      <c r="A158" s="234" t="s">
        <v>420</v>
      </c>
      <c r="B158" s="235"/>
      <c r="C158" s="235"/>
      <c r="D158" s="235"/>
      <c r="E158" s="235"/>
      <c r="F158" s="235"/>
      <c r="G158" s="235"/>
      <c r="H158" s="231" t="e">
        <f t="shared" si="41"/>
        <v>#DIV/0!</v>
      </c>
      <c r="I158" s="255"/>
      <c r="O158" s="251"/>
      <c r="P158" s="252"/>
      <c r="AA158" s="254">
        <f t="shared" si="46"/>
        <v>0</v>
      </c>
    </row>
    <row r="159" spans="1:27" s="207" customFormat="1" ht="24" customHeight="1">
      <c r="A159" s="234" t="s">
        <v>421</v>
      </c>
      <c r="B159" s="235">
        <v>142</v>
      </c>
      <c r="C159" s="235">
        <f>142</f>
        <v>142</v>
      </c>
      <c r="D159" s="235"/>
      <c r="E159" s="235">
        <v>131</v>
      </c>
      <c r="F159" s="235">
        <v>131</v>
      </c>
      <c r="G159" s="235">
        <v>5</v>
      </c>
      <c r="H159" s="231">
        <f t="shared" si="41"/>
        <v>0.9225352112676056</v>
      </c>
      <c r="I159" s="255"/>
      <c r="O159" s="251"/>
      <c r="P159" s="252"/>
      <c r="AA159" s="254">
        <f t="shared" si="46"/>
        <v>0</v>
      </c>
    </row>
    <row r="160" spans="1:27" s="207" customFormat="1" ht="24" customHeight="1">
      <c r="A160" s="234" t="s">
        <v>422</v>
      </c>
      <c r="B160" s="235">
        <f aca="true" t="shared" si="52" ref="B160:G160">SUM(B161:B163)</f>
        <v>0</v>
      </c>
      <c r="C160" s="235">
        <f t="shared" si="52"/>
        <v>0</v>
      </c>
      <c r="D160" s="235">
        <f t="shared" si="52"/>
        <v>115</v>
      </c>
      <c r="E160" s="235">
        <f t="shared" si="52"/>
        <v>0</v>
      </c>
      <c r="F160" s="235">
        <f t="shared" si="52"/>
        <v>0</v>
      </c>
      <c r="G160" s="235">
        <f t="shared" si="52"/>
        <v>33</v>
      </c>
      <c r="H160" s="231" t="e">
        <f t="shared" si="41"/>
        <v>#DIV/0!</v>
      </c>
      <c r="I160" s="249"/>
      <c r="J160" s="250"/>
      <c r="O160" s="251"/>
      <c r="P160" s="234"/>
      <c r="AA160" s="254">
        <f t="shared" si="46"/>
        <v>0</v>
      </c>
    </row>
    <row r="161" spans="1:27" s="207" customFormat="1" ht="24" customHeight="1">
      <c r="A161" s="234" t="s">
        <v>423</v>
      </c>
      <c r="B161" s="235"/>
      <c r="C161" s="235"/>
      <c r="D161" s="235"/>
      <c r="E161" s="235"/>
      <c r="F161" s="235"/>
      <c r="G161" s="235"/>
      <c r="H161" s="231" t="e">
        <f t="shared" si="41"/>
        <v>#DIV/0!</v>
      </c>
      <c r="I161" s="255"/>
      <c r="O161" s="251"/>
      <c r="P161" s="252"/>
      <c r="AA161" s="254">
        <f t="shared" si="46"/>
        <v>0</v>
      </c>
    </row>
    <row r="162" spans="1:27" s="207" customFormat="1" ht="24" customHeight="1">
      <c r="A162" s="234" t="s">
        <v>424</v>
      </c>
      <c r="B162" s="235"/>
      <c r="C162" s="235"/>
      <c r="D162" s="235">
        <v>115</v>
      </c>
      <c r="E162" s="235"/>
      <c r="F162" s="235"/>
      <c r="G162" s="235">
        <v>33</v>
      </c>
      <c r="H162" s="231" t="e">
        <f t="shared" si="41"/>
        <v>#DIV/0!</v>
      </c>
      <c r="I162" s="255"/>
      <c r="O162" s="251"/>
      <c r="P162" s="252"/>
      <c r="AA162" s="254">
        <f t="shared" si="46"/>
        <v>0</v>
      </c>
    </row>
    <row r="163" spans="1:27" s="207" customFormat="1" ht="24" customHeight="1">
      <c r="A163" s="234" t="s">
        <v>425</v>
      </c>
      <c r="B163" s="235"/>
      <c r="C163" s="235"/>
      <c r="D163" s="235"/>
      <c r="E163" s="235"/>
      <c r="F163" s="235"/>
      <c r="G163" s="235"/>
      <c r="H163" s="231" t="e">
        <f t="shared" si="41"/>
        <v>#DIV/0!</v>
      </c>
      <c r="I163" s="255"/>
      <c r="O163" s="251"/>
      <c r="P163" s="252"/>
      <c r="AA163" s="254">
        <f t="shared" si="46"/>
        <v>0</v>
      </c>
    </row>
    <row r="164" spans="1:27" s="207" customFormat="1" ht="24" customHeight="1">
      <c r="A164" s="234" t="s">
        <v>426</v>
      </c>
      <c r="B164" s="235">
        <f aca="true" t="shared" si="53" ref="B164:G164">SUM(B165:B166)</f>
        <v>0</v>
      </c>
      <c r="C164" s="235">
        <f t="shared" si="53"/>
        <v>0</v>
      </c>
      <c r="D164" s="235">
        <f t="shared" si="53"/>
        <v>0</v>
      </c>
      <c r="E164" s="235">
        <f t="shared" si="53"/>
        <v>0</v>
      </c>
      <c r="F164" s="235">
        <f t="shared" si="53"/>
        <v>0</v>
      </c>
      <c r="G164" s="235">
        <f t="shared" si="53"/>
        <v>0</v>
      </c>
      <c r="H164" s="231" t="e">
        <f t="shared" si="41"/>
        <v>#DIV/0!</v>
      </c>
      <c r="I164" s="249"/>
      <c r="J164" s="250"/>
      <c r="O164" s="251"/>
      <c r="P164" s="234"/>
      <c r="AA164" s="254">
        <f t="shared" si="46"/>
        <v>0</v>
      </c>
    </row>
    <row r="165" spans="1:27" s="207" customFormat="1" ht="24" customHeight="1">
      <c r="A165" s="234" t="s">
        <v>427</v>
      </c>
      <c r="B165" s="235"/>
      <c r="C165" s="235"/>
      <c r="D165" s="235"/>
      <c r="E165" s="235"/>
      <c r="F165" s="235"/>
      <c r="G165" s="235"/>
      <c r="H165" s="231" t="e">
        <f t="shared" si="41"/>
        <v>#DIV/0!</v>
      </c>
      <c r="I165" s="255"/>
      <c r="O165" s="251"/>
      <c r="P165" s="252"/>
      <c r="AA165" s="254">
        <f t="shared" si="46"/>
        <v>0</v>
      </c>
    </row>
    <row r="166" spans="1:27" s="207" customFormat="1" ht="24" customHeight="1">
      <c r="A166" s="234" t="s">
        <v>428</v>
      </c>
      <c r="B166" s="235"/>
      <c r="C166" s="235"/>
      <c r="D166" s="235"/>
      <c r="E166" s="235"/>
      <c r="F166" s="235"/>
      <c r="G166" s="235"/>
      <c r="H166" s="231" t="e">
        <f t="shared" si="41"/>
        <v>#DIV/0!</v>
      </c>
      <c r="I166" s="255"/>
      <c r="O166" s="251"/>
      <c r="P166" s="252"/>
      <c r="AA166" s="254">
        <f t="shared" si="46"/>
        <v>0</v>
      </c>
    </row>
    <row r="167" spans="1:27" s="207" customFormat="1" ht="24" customHeight="1">
      <c r="A167" s="234" t="s">
        <v>429</v>
      </c>
      <c r="B167" s="235">
        <f aca="true" t="shared" si="54" ref="B167:G167">SUM(B168:B170)</f>
        <v>420</v>
      </c>
      <c r="C167" s="235">
        <f t="shared" si="54"/>
        <v>420</v>
      </c>
      <c r="D167" s="235">
        <f t="shared" si="54"/>
        <v>46</v>
      </c>
      <c r="E167" s="235">
        <f t="shared" si="54"/>
        <v>407</v>
      </c>
      <c r="F167" s="235">
        <f t="shared" si="54"/>
        <v>407</v>
      </c>
      <c r="G167" s="235">
        <f t="shared" si="54"/>
        <v>402</v>
      </c>
      <c r="H167" s="231">
        <f t="shared" si="41"/>
        <v>0.969047619047619</v>
      </c>
      <c r="I167" s="249"/>
      <c r="J167" s="250"/>
      <c r="O167" s="251"/>
      <c r="P167" s="252"/>
      <c r="Q167" s="268"/>
      <c r="R167" s="268"/>
      <c r="S167" s="268"/>
      <c r="AA167" s="254">
        <f t="shared" si="46"/>
        <v>0</v>
      </c>
    </row>
    <row r="168" spans="1:27" s="207" customFormat="1" ht="24" customHeight="1">
      <c r="A168" s="234" t="s">
        <v>430</v>
      </c>
      <c r="B168" s="235">
        <v>365</v>
      </c>
      <c r="C168" s="235">
        <f>307+58</f>
        <v>365</v>
      </c>
      <c r="D168" s="235"/>
      <c r="E168" s="235">
        <v>363</v>
      </c>
      <c r="F168" s="235">
        <f>311+52</f>
        <v>363</v>
      </c>
      <c r="G168" s="235"/>
      <c r="H168" s="231">
        <f t="shared" si="41"/>
        <v>0.9945205479452055</v>
      </c>
      <c r="I168" s="255"/>
      <c r="O168" s="251"/>
      <c r="P168" s="252"/>
      <c r="AA168" s="254">
        <f t="shared" si="46"/>
        <v>0</v>
      </c>
    </row>
    <row r="169" spans="1:252" s="207" customFormat="1" ht="24" customHeight="1">
      <c r="A169" s="234" t="s">
        <v>431</v>
      </c>
      <c r="B169" s="235"/>
      <c r="C169" s="235"/>
      <c r="D169" s="235"/>
      <c r="E169" s="235"/>
      <c r="F169" s="235"/>
      <c r="G169" s="235"/>
      <c r="H169" s="231" t="e">
        <f t="shared" si="41"/>
        <v>#DIV/0!</v>
      </c>
      <c r="I169" s="255"/>
      <c r="J169" s="254"/>
      <c r="K169" s="254"/>
      <c r="L169" s="254"/>
      <c r="M169" s="254"/>
      <c r="N169" s="254"/>
      <c r="O169" s="251"/>
      <c r="P169" s="252"/>
      <c r="X169" s="262"/>
      <c r="Y169" s="262"/>
      <c r="Z169" s="262"/>
      <c r="AA169" s="254">
        <f t="shared" si="46"/>
        <v>0</v>
      </c>
      <c r="AB169" s="262"/>
      <c r="AC169" s="262"/>
      <c r="AD169" s="262"/>
      <c r="AE169" s="262"/>
      <c r="AF169" s="262"/>
      <c r="AG169" s="262"/>
      <c r="AH169" s="262"/>
      <c r="AI169" s="262"/>
      <c r="AJ169" s="262"/>
      <c r="AK169" s="262"/>
      <c r="AL169" s="262"/>
      <c r="AM169" s="262"/>
      <c r="AN169" s="262"/>
      <c r="AO169" s="262"/>
      <c r="AP169" s="262"/>
      <c r="AQ169" s="262"/>
      <c r="AR169" s="262"/>
      <c r="AS169" s="262"/>
      <c r="AT169" s="262"/>
      <c r="AU169" s="262"/>
      <c r="AV169" s="262"/>
      <c r="AW169" s="262"/>
      <c r="AX169" s="262"/>
      <c r="AY169" s="262"/>
      <c r="AZ169" s="262"/>
      <c r="BA169" s="262"/>
      <c r="BB169" s="262"/>
      <c r="BC169" s="262"/>
      <c r="BD169" s="262"/>
      <c r="BE169" s="262"/>
      <c r="BF169" s="262"/>
      <c r="BG169" s="262"/>
      <c r="BH169" s="262"/>
      <c r="BI169" s="262"/>
      <c r="BJ169" s="262"/>
      <c r="BK169" s="262"/>
      <c r="BL169" s="262"/>
      <c r="BM169" s="262"/>
      <c r="BN169" s="262"/>
      <c r="BO169" s="262"/>
      <c r="BP169" s="262"/>
      <c r="BQ169" s="262"/>
      <c r="BR169" s="262"/>
      <c r="BS169" s="262"/>
      <c r="BT169" s="262"/>
      <c r="BU169" s="262"/>
      <c r="BV169" s="262"/>
      <c r="BW169" s="262"/>
      <c r="BX169" s="262"/>
      <c r="BY169" s="262"/>
      <c r="BZ169" s="262"/>
      <c r="CA169" s="262"/>
      <c r="CB169" s="262"/>
      <c r="CC169" s="262"/>
      <c r="CD169" s="262"/>
      <c r="CE169" s="262"/>
      <c r="CF169" s="262"/>
      <c r="CG169" s="262"/>
      <c r="CH169" s="262"/>
      <c r="CI169" s="262"/>
      <c r="CJ169" s="262"/>
      <c r="CK169" s="262"/>
      <c r="CL169" s="262"/>
      <c r="CM169" s="262"/>
      <c r="CN169" s="262"/>
      <c r="CO169" s="262"/>
      <c r="CP169" s="262"/>
      <c r="CQ169" s="262"/>
      <c r="CR169" s="262"/>
      <c r="CS169" s="262"/>
      <c r="CT169" s="262"/>
      <c r="CU169" s="262"/>
      <c r="CV169" s="262"/>
      <c r="CW169" s="262"/>
      <c r="CX169" s="262"/>
      <c r="CY169" s="262"/>
      <c r="CZ169" s="262"/>
      <c r="DA169" s="262"/>
      <c r="DB169" s="262"/>
      <c r="DC169" s="262"/>
      <c r="DD169" s="262"/>
      <c r="DE169" s="262"/>
      <c r="DF169" s="262"/>
      <c r="DG169" s="262"/>
      <c r="DH169" s="262"/>
      <c r="DI169" s="262"/>
      <c r="DJ169" s="262"/>
      <c r="DK169" s="262"/>
      <c r="DL169" s="262"/>
      <c r="DM169" s="262"/>
      <c r="DN169" s="262"/>
      <c r="DO169" s="262"/>
      <c r="DP169" s="262"/>
      <c r="DQ169" s="262"/>
      <c r="DR169" s="262"/>
      <c r="DS169" s="262"/>
      <c r="DT169" s="262"/>
      <c r="DU169" s="262"/>
      <c r="DV169" s="262"/>
      <c r="DW169" s="262"/>
      <c r="DX169" s="262"/>
      <c r="DY169" s="262"/>
      <c r="DZ169" s="262"/>
      <c r="EA169" s="262"/>
      <c r="EB169" s="262"/>
      <c r="EC169" s="262"/>
      <c r="ED169" s="262"/>
      <c r="EE169" s="262"/>
      <c r="EF169" s="262"/>
      <c r="EG169" s="262"/>
      <c r="EH169" s="262"/>
      <c r="EI169" s="262"/>
      <c r="EJ169" s="262"/>
      <c r="EK169" s="262"/>
      <c r="EL169" s="262"/>
      <c r="EM169" s="262"/>
      <c r="EN169" s="262"/>
      <c r="EO169" s="262"/>
      <c r="EP169" s="262"/>
      <c r="EQ169" s="262"/>
      <c r="ER169" s="262"/>
      <c r="ES169" s="262"/>
      <c r="ET169" s="262"/>
      <c r="EU169" s="262"/>
      <c r="EV169" s="262"/>
      <c r="EW169" s="262"/>
      <c r="EX169" s="262"/>
      <c r="EY169" s="262"/>
      <c r="EZ169" s="262"/>
      <c r="FA169" s="262"/>
      <c r="FB169" s="262"/>
      <c r="FC169" s="262"/>
      <c r="FD169" s="262"/>
      <c r="FE169" s="262"/>
      <c r="FF169" s="262"/>
      <c r="FG169" s="262"/>
      <c r="FH169" s="262"/>
      <c r="FI169" s="262"/>
      <c r="FJ169" s="262"/>
      <c r="FK169" s="262"/>
      <c r="FL169" s="262"/>
      <c r="FM169" s="262"/>
      <c r="FN169" s="262"/>
      <c r="FO169" s="262"/>
      <c r="FP169" s="262"/>
      <c r="FQ169" s="262"/>
      <c r="FR169" s="262"/>
      <c r="FS169" s="262"/>
      <c r="FT169" s="262"/>
      <c r="FU169" s="262"/>
      <c r="FV169" s="262"/>
      <c r="FW169" s="262"/>
      <c r="FX169" s="262"/>
      <c r="FY169" s="262"/>
      <c r="FZ169" s="262"/>
      <c r="GA169" s="262"/>
      <c r="GB169" s="262"/>
      <c r="GC169" s="262"/>
      <c r="GD169" s="262"/>
      <c r="GE169" s="262"/>
      <c r="GF169" s="262"/>
      <c r="GG169" s="262"/>
      <c r="GH169" s="262"/>
      <c r="GI169" s="262"/>
      <c r="GJ169" s="262"/>
      <c r="GK169" s="262"/>
      <c r="GL169" s="262"/>
      <c r="GM169" s="262"/>
      <c r="GN169" s="262"/>
      <c r="GO169" s="262"/>
      <c r="GP169" s="262"/>
      <c r="GQ169" s="262"/>
      <c r="GR169" s="262"/>
      <c r="GS169" s="262"/>
      <c r="GT169" s="262"/>
      <c r="GU169" s="262"/>
      <c r="GV169" s="262"/>
      <c r="GW169" s="262"/>
      <c r="GX169" s="262"/>
      <c r="GY169" s="262"/>
      <c r="GZ169" s="262"/>
      <c r="HA169" s="262"/>
      <c r="HB169" s="262"/>
      <c r="HC169" s="262"/>
      <c r="HD169" s="262"/>
      <c r="HE169" s="262"/>
      <c r="HF169" s="262"/>
      <c r="HG169" s="262"/>
      <c r="HH169" s="262"/>
      <c r="HI169" s="262"/>
      <c r="HJ169" s="262"/>
      <c r="HK169" s="262"/>
      <c r="HL169" s="262"/>
      <c r="HM169" s="262"/>
      <c r="HN169" s="262"/>
      <c r="HO169" s="262"/>
      <c r="HP169" s="265"/>
      <c r="HQ169" s="265"/>
      <c r="HR169" s="265"/>
      <c r="HS169" s="265"/>
      <c r="HT169" s="265"/>
      <c r="HU169" s="265"/>
      <c r="HV169" s="265"/>
      <c r="HW169" s="265"/>
      <c r="HX169" s="265"/>
      <c r="HY169" s="265"/>
      <c r="HZ169" s="265"/>
      <c r="IA169" s="265"/>
      <c r="IB169" s="265"/>
      <c r="IC169" s="265"/>
      <c r="ID169" s="265"/>
      <c r="IE169" s="265"/>
      <c r="IF169" s="265"/>
      <c r="IG169" s="265"/>
      <c r="IH169" s="265"/>
      <c r="II169" s="265"/>
      <c r="IJ169" s="265"/>
      <c r="IK169" s="265"/>
      <c r="IL169" s="265"/>
      <c r="IM169" s="265"/>
      <c r="IN169" s="265"/>
      <c r="IO169" s="265"/>
      <c r="IP169" s="265"/>
      <c r="IQ169" s="265"/>
      <c r="IR169" s="265"/>
    </row>
    <row r="170" spans="1:223" s="207" customFormat="1" ht="27.75" customHeight="1">
      <c r="A170" s="234" t="s">
        <v>432</v>
      </c>
      <c r="B170" s="235">
        <v>55</v>
      </c>
      <c r="C170" s="235">
        <f>47+8</f>
        <v>55</v>
      </c>
      <c r="D170" s="235">
        <v>46</v>
      </c>
      <c r="E170" s="235">
        <v>44</v>
      </c>
      <c r="F170" s="235">
        <f>44</f>
        <v>44</v>
      </c>
      <c r="G170" s="235">
        <v>402</v>
      </c>
      <c r="H170" s="231">
        <f t="shared" si="41"/>
        <v>0.8</v>
      </c>
      <c r="I170" s="255"/>
      <c r="J170" s="254"/>
      <c r="K170" s="254"/>
      <c r="L170" s="254"/>
      <c r="M170" s="254"/>
      <c r="N170" s="254"/>
      <c r="O170" s="251"/>
      <c r="P170" s="252"/>
      <c r="T170" s="254"/>
      <c r="X170" s="254"/>
      <c r="Y170" s="254"/>
      <c r="Z170" s="254"/>
      <c r="AA170" s="254">
        <f t="shared" si="46"/>
        <v>0</v>
      </c>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c r="CF170" s="254"/>
      <c r="CG170" s="254"/>
      <c r="CH170" s="254"/>
      <c r="CI170" s="254"/>
      <c r="CJ170" s="254"/>
      <c r="CK170" s="254"/>
      <c r="CL170" s="254"/>
      <c r="CM170" s="254"/>
      <c r="CN170" s="254"/>
      <c r="CO170" s="254"/>
      <c r="CP170" s="254"/>
      <c r="CQ170" s="254"/>
      <c r="CR170" s="254"/>
      <c r="CS170" s="254"/>
      <c r="CT170" s="254"/>
      <c r="CU170" s="254"/>
      <c r="CV170" s="254"/>
      <c r="CW170" s="254"/>
      <c r="CX170" s="254"/>
      <c r="CY170" s="254"/>
      <c r="CZ170" s="254"/>
      <c r="DA170" s="254"/>
      <c r="DB170" s="254"/>
      <c r="DC170" s="254"/>
      <c r="DD170" s="254"/>
      <c r="DE170" s="254"/>
      <c r="DF170" s="254"/>
      <c r="DG170" s="254"/>
      <c r="DH170" s="254"/>
      <c r="DI170" s="254"/>
      <c r="DJ170" s="254"/>
      <c r="DK170" s="254"/>
      <c r="DL170" s="254"/>
      <c r="DM170" s="254"/>
      <c r="DN170" s="254"/>
      <c r="DO170" s="254"/>
      <c r="DP170" s="254"/>
      <c r="DQ170" s="254"/>
      <c r="DR170" s="254"/>
      <c r="DS170" s="254"/>
      <c r="DT170" s="254"/>
      <c r="DU170" s="254"/>
      <c r="DV170" s="254"/>
      <c r="DW170" s="254"/>
      <c r="DX170" s="254"/>
      <c r="DY170" s="254"/>
      <c r="DZ170" s="254"/>
      <c r="EA170" s="254"/>
      <c r="EB170" s="254"/>
      <c r="EC170" s="254"/>
      <c r="ED170" s="254"/>
      <c r="EE170" s="254"/>
      <c r="EF170" s="254"/>
      <c r="EG170" s="254"/>
      <c r="EH170" s="254"/>
      <c r="EI170" s="254"/>
      <c r="EJ170" s="254"/>
      <c r="EK170" s="254"/>
      <c r="EL170" s="254"/>
      <c r="EM170" s="254"/>
      <c r="EN170" s="254"/>
      <c r="EO170" s="254"/>
      <c r="EP170" s="254"/>
      <c r="EQ170" s="254"/>
      <c r="ER170" s="254"/>
      <c r="ES170" s="254"/>
      <c r="ET170" s="254"/>
      <c r="EU170" s="254"/>
      <c r="EV170" s="254"/>
      <c r="EW170" s="254"/>
      <c r="EX170" s="254"/>
      <c r="EY170" s="254"/>
      <c r="EZ170" s="254"/>
      <c r="FA170" s="254"/>
      <c r="FB170" s="254"/>
      <c r="FC170" s="254"/>
      <c r="FD170" s="254"/>
      <c r="FE170" s="254"/>
      <c r="FF170" s="254"/>
      <c r="FG170" s="254"/>
      <c r="FH170" s="254"/>
      <c r="FI170" s="254"/>
      <c r="FJ170" s="254"/>
      <c r="FK170" s="254"/>
      <c r="FL170" s="254"/>
      <c r="FM170" s="254"/>
      <c r="FN170" s="254"/>
      <c r="FO170" s="254"/>
      <c r="FP170" s="254"/>
      <c r="FQ170" s="254"/>
      <c r="FR170" s="254"/>
      <c r="FS170" s="254"/>
      <c r="FT170" s="254"/>
      <c r="FU170" s="254"/>
      <c r="FV170" s="254"/>
      <c r="FW170" s="254"/>
      <c r="FX170" s="254"/>
      <c r="FY170" s="254"/>
      <c r="FZ170" s="254"/>
      <c r="GA170" s="254"/>
      <c r="GB170" s="254"/>
      <c r="GC170" s="254"/>
      <c r="GD170" s="254"/>
      <c r="GE170" s="254"/>
      <c r="GF170" s="254"/>
      <c r="GG170" s="254"/>
      <c r="GH170" s="254"/>
      <c r="GI170" s="254"/>
      <c r="GJ170" s="254"/>
      <c r="GK170" s="254"/>
      <c r="GL170" s="254"/>
      <c r="GM170" s="254"/>
      <c r="GN170" s="254"/>
      <c r="GO170" s="254"/>
      <c r="GP170" s="254"/>
      <c r="GQ170" s="254"/>
      <c r="GR170" s="254"/>
      <c r="GS170" s="254"/>
      <c r="GT170" s="254"/>
      <c r="GU170" s="254"/>
      <c r="GV170" s="254"/>
      <c r="GW170" s="254"/>
      <c r="GX170" s="254"/>
      <c r="GY170" s="254"/>
      <c r="GZ170" s="254"/>
      <c r="HA170" s="254"/>
      <c r="HB170" s="254"/>
      <c r="HC170" s="254"/>
      <c r="HD170" s="254"/>
      <c r="HE170" s="254"/>
      <c r="HF170" s="254"/>
      <c r="HG170" s="254"/>
      <c r="HH170" s="254"/>
      <c r="HI170" s="254"/>
      <c r="HJ170" s="254"/>
      <c r="HK170" s="254"/>
      <c r="HL170" s="254"/>
      <c r="HM170" s="254"/>
      <c r="HN170" s="254"/>
      <c r="HO170" s="254"/>
    </row>
    <row r="171" spans="1:27" s="207" customFormat="1" ht="24" customHeight="1">
      <c r="A171" s="234" t="s">
        <v>433</v>
      </c>
      <c r="B171" s="235">
        <f aca="true" t="shared" si="55" ref="B171:G171">SUM(B172:B172)</f>
        <v>0</v>
      </c>
      <c r="C171" s="235">
        <f t="shared" si="55"/>
        <v>0</v>
      </c>
      <c r="D171" s="235">
        <f t="shared" si="55"/>
        <v>158</v>
      </c>
      <c r="E171" s="235">
        <f t="shared" si="55"/>
        <v>0</v>
      </c>
      <c r="F171" s="235">
        <f t="shared" si="55"/>
        <v>0</v>
      </c>
      <c r="G171" s="235">
        <f t="shared" si="55"/>
        <v>144</v>
      </c>
      <c r="H171" s="231" t="e">
        <f t="shared" si="41"/>
        <v>#DIV/0!</v>
      </c>
      <c r="I171" s="249"/>
      <c r="J171" s="250"/>
      <c r="O171" s="251"/>
      <c r="P171" s="252"/>
      <c r="Q171" s="268"/>
      <c r="R171" s="268"/>
      <c r="S171" s="268"/>
      <c r="AA171" s="254">
        <f t="shared" si="46"/>
        <v>0</v>
      </c>
    </row>
    <row r="172" spans="1:223" s="207" customFormat="1" ht="30.75" customHeight="1">
      <c r="A172" s="234" t="s">
        <v>434</v>
      </c>
      <c r="B172" s="235"/>
      <c r="C172" s="235"/>
      <c r="D172" s="235">
        <v>158</v>
      </c>
      <c r="E172" s="235"/>
      <c r="F172" s="235"/>
      <c r="G172" s="235">
        <v>144</v>
      </c>
      <c r="H172" s="231" t="e">
        <f t="shared" si="41"/>
        <v>#DIV/0!</v>
      </c>
      <c r="I172" s="255"/>
      <c r="J172" s="254"/>
      <c r="K172" s="254"/>
      <c r="L172" s="254"/>
      <c r="M172" s="254"/>
      <c r="N172" s="254"/>
      <c r="O172" s="251"/>
      <c r="P172" s="252"/>
      <c r="T172" s="254"/>
      <c r="X172" s="254"/>
      <c r="Y172" s="254"/>
      <c r="Z172" s="254"/>
      <c r="AA172" s="254">
        <f t="shared" si="46"/>
        <v>0</v>
      </c>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c r="CO172" s="254"/>
      <c r="CP172" s="254"/>
      <c r="CQ172" s="254"/>
      <c r="CR172" s="254"/>
      <c r="CS172" s="254"/>
      <c r="CT172" s="254"/>
      <c r="CU172" s="254"/>
      <c r="CV172" s="254"/>
      <c r="CW172" s="254"/>
      <c r="CX172" s="254"/>
      <c r="CY172" s="254"/>
      <c r="CZ172" s="254"/>
      <c r="DA172" s="254"/>
      <c r="DB172" s="254"/>
      <c r="DC172" s="254"/>
      <c r="DD172" s="254"/>
      <c r="DE172" s="254"/>
      <c r="DF172" s="254"/>
      <c r="DG172" s="254"/>
      <c r="DH172" s="254"/>
      <c r="DI172" s="254"/>
      <c r="DJ172" s="254"/>
      <c r="DK172" s="254"/>
      <c r="DL172" s="254"/>
      <c r="DM172" s="254"/>
      <c r="DN172" s="254"/>
      <c r="DO172" s="254"/>
      <c r="DP172" s="254"/>
      <c r="DQ172" s="254"/>
      <c r="DR172" s="254"/>
      <c r="DS172" s="254"/>
      <c r="DT172" s="254"/>
      <c r="DU172" s="254"/>
      <c r="DV172" s="254"/>
      <c r="DW172" s="254"/>
      <c r="DX172" s="254"/>
      <c r="DY172" s="254"/>
      <c r="DZ172" s="254"/>
      <c r="EA172" s="254"/>
      <c r="EB172" s="254"/>
      <c r="EC172" s="254"/>
      <c r="ED172" s="254"/>
      <c r="EE172" s="254"/>
      <c r="EF172" s="254"/>
      <c r="EG172" s="254"/>
      <c r="EH172" s="254"/>
      <c r="EI172" s="254"/>
      <c r="EJ172" s="254"/>
      <c r="EK172" s="254"/>
      <c r="EL172" s="254"/>
      <c r="EM172" s="254"/>
      <c r="EN172" s="254"/>
      <c r="EO172" s="254"/>
      <c r="EP172" s="254"/>
      <c r="EQ172" s="254"/>
      <c r="ER172" s="254"/>
      <c r="ES172" s="254"/>
      <c r="ET172" s="254"/>
      <c r="EU172" s="254"/>
      <c r="EV172" s="254"/>
      <c r="EW172" s="254"/>
      <c r="EX172" s="254"/>
      <c r="EY172" s="254"/>
      <c r="EZ172" s="254"/>
      <c r="FA172" s="254"/>
      <c r="FB172" s="254"/>
      <c r="FC172" s="254"/>
      <c r="FD172" s="254"/>
      <c r="FE172" s="254"/>
      <c r="FF172" s="254"/>
      <c r="FG172" s="254"/>
      <c r="FH172" s="254"/>
      <c r="FI172" s="254"/>
      <c r="FJ172" s="254"/>
      <c r="FK172" s="254"/>
      <c r="FL172" s="254"/>
      <c r="FM172" s="254"/>
      <c r="FN172" s="254"/>
      <c r="FO172" s="254"/>
      <c r="FP172" s="254"/>
      <c r="FQ172" s="254"/>
      <c r="FR172" s="254"/>
      <c r="FS172" s="254"/>
      <c r="FT172" s="254"/>
      <c r="FU172" s="254"/>
      <c r="FV172" s="254"/>
      <c r="FW172" s="254"/>
      <c r="FX172" s="254"/>
      <c r="FY172" s="254"/>
      <c r="FZ172" s="254"/>
      <c r="GA172" s="254"/>
      <c r="GB172" s="254"/>
      <c r="GC172" s="254"/>
      <c r="GD172" s="254"/>
      <c r="GE172" s="254"/>
      <c r="GF172" s="254"/>
      <c r="GG172" s="254"/>
      <c r="GH172" s="254"/>
      <c r="GI172" s="254"/>
      <c r="GJ172" s="254"/>
      <c r="GK172" s="254"/>
      <c r="GL172" s="254"/>
      <c r="GM172" s="254"/>
      <c r="GN172" s="254"/>
      <c r="GO172" s="254"/>
      <c r="GP172" s="254"/>
      <c r="GQ172" s="254"/>
      <c r="GR172" s="254"/>
      <c r="GS172" s="254"/>
      <c r="GT172" s="254"/>
      <c r="GU172" s="254"/>
      <c r="GV172" s="254"/>
      <c r="GW172" s="254"/>
      <c r="GX172" s="254"/>
      <c r="GY172" s="254"/>
      <c r="GZ172" s="254"/>
      <c r="HA172" s="254"/>
      <c r="HB172" s="254"/>
      <c r="HC172" s="254"/>
      <c r="HD172" s="254"/>
      <c r="HE172" s="254"/>
      <c r="HF172" s="254"/>
      <c r="HG172" s="254"/>
      <c r="HH172" s="254"/>
      <c r="HI172" s="254"/>
      <c r="HJ172" s="254"/>
      <c r="HK172" s="254"/>
      <c r="HL172" s="254"/>
      <c r="HM172" s="254"/>
      <c r="HN172" s="254"/>
      <c r="HO172" s="254"/>
    </row>
    <row r="173" spans="1:27" s="205" customFormat="1" ht="24" customHeight="1">
      <c r="A173" s="232" t="s">
        <v>435</v>
      </c>
      <c r="B173" s="233">
        <f aca="true" t="shared" si="56" ref="B173:G173">B174+B178+B184+B191+B193+B197+B202+B207+B213+B215+B217+B219+B222+B224+B227</f>
        <v>9485</v>
      </c>
      <c r="C173" s="233">
        <f t="shared" si="56"/>
        <v>9485</v>
      </c>
      <c r="D173" s="233">
        <f t="shared" si="56"/>
        <v>5469</v>
      </c>
      <c r="E173" s="233">
        <f t="shared" si="56"/>
        <v>10756</v>
      </c>
      <c r="F173" s="233">
        <f t="shared" si="56"/>
        <v>10756</v>
      </c>
      <c r="G173" s="233">
        <f t="shared" si="56"/>
        <v>221</v>
      </c>
      <c r="H173" s="231">
        <f t="shared" si="41"/>
        <v>1.1340010542962573</v>
      </c>
      <c r="I173" s="245"/>
      <c r="J173" s="270"/>
      <c r="K173" s="205">
        <v>7066</v>
      </c>
      <c r="L173" s="205">
        <f>K173+E173-G173</f>
        <v>17601</v>
      </c>
      <c r="M173" s="205">
        <f>B173-D173</f>
        <v>4016</v>
      </c>
      <c r="N173" s="205">
        <f>L173/M173-1</f>
        <v>3.382719123505976</v>
      </c>
      <c r="O173" s="247"/>
      <c r="P173" s="248"/>
      <c r="Q173" s="261"/>
      <c r="R173" s="261"/>
      <c r="S173" s="261"/>
      <c r="AA173" s="263">
        <f t="shared" si="46"/>
        <v>0</v>
      </c>
    </row>
    <row r="174" spans="1:27" s="207" customFormat="1" ht="28.5" customHeight="1">
      <c r="A174" s="234" t="s">
        <v>436</v>
      </c>
      <c r="B174" s="235">
        <f aca="true" t="shared" si="57" ref="B174:G174">SUM(B175:B177)</f>
        <v>1061</v>
      </c>
      <c r="C174" s="235">
        <f t="shared" si="57"/>
        <v>1061</v>
      </c>
      <c r="D174" s="235">
        <f t="shared" si="57"/>
        <v>0</v>
      </c>
      <c r="E174" s="235">
        <f t="shared" si="57"/>
        <v>958</v>
      </c>
      <c r="F174" s="235">
        <f t="shared" si="57"/>
        <v>958</v>
      </c>
      <c r="G174" s="235">
        <f t="shared" si="57"/>
        <v>0</v>
      </c>
      <c r="H174" s="231">
        <f t="shared" si="41"/>
        <v>0.9029217719132894</v>
      </c>
      <c r="I174" s="249"/>
      <c r="J174" s="250"/>
      <c r="O174" s="251"/>
      <c r="P174" s="234"/>
      <c r="AA174" s="254">
        <f t="shared" si="46"/>
        <v>0</v>
      </c>
    </row>
    <row r="175" spans="1:27" s="207" customFormat="1" ht="28.5" customHeight="1">
      <c r="A175" s="234" t="s">
        <v>437</v>
      </c>
      <c r="B175" s="235">
        <v>1061</v>
      </c>
      <c r="C175" s="235">
        <v>1061</v>
      </c>
      <c r="D175" s="235"/>
      <c r="E175" s="235">
        <v>958</v>
      </c>
      <c r="F175" s="235">
        <f>881+77</f>
        <v>958</v>
      </c>
      <c r="G175" s="235"/>
      <c r="H175" s="231">
        <f t="shared" si="41"/>
        <v>0.9029217719132894</v>
      </c>
      <c r="I175" s="255"/>
      <c r="O175" s="251"/>
      <c r="P175" s="252"/>
      <c r="AA175" s="254">
        <f t="shared" si="46"/>
        <v>0</v>
      </c>
    </row>
    <row r="176" spans="1:27" s="207" customFormat="1" ht="39" customHeight="1">
      <c r="A176" s="234" t="s">
        <v>438</v>
      </c>
      <c r="B176" s="235"/>
      <c r="C176" s="235"/>
      <c r="D176" s="235"/>
      <c r="E176" s="235"/>
      <c r="F176" s="235"/>
      <c r="G176" s="235"/>
      <c r="H176" s="231" t="e">
        <f t="shared" si="41"/>
        <v>#DIV/0!</v>
      </c>
      <c r="I176" s="255"/>
      <c r="O176" s="251"/>
      <c r="P176" s="252"/>
      <c r="S176" s="254"/>
      <c r="AA176" s="254" t="e">
        <f>F176-#REF!</f>
        <v>#REF!</v>
      </c>
    </row>
    <row r="177" spans="1:252" s="207" customFormat="1" ht="29.25" customHeight="1">
      <c r="A177" s="234" t="s">
        <v>439</v>
      </c>
      <c r="B177" s="235"/>
      <c r="C177" s="235"/>
      <c r="D177" s="235"/>
      <c r="E177" s="235"/>
      <c r="F177" s="235"/>
      <c r="G177" s="235"/>
      <c r="H177" s="231" t="e">
        <f t="shared" si="41"/>
        <v>#DIV/0!</v>
      </c>
      <c r="I177" s="255"/>
      <c r="J177" s="254"/>
      <c r="K177" s="254"/>
      <c r="L177" s="254"/>
      <c r="M177" s="254"/>
      <c r="N177" s="254"/>
      <c r="O177" s="251"/>
      <c r="P177" s="252"/>
      <c r="X177" s="262"/>
      <c r="Y177" s="262"/>
      <c r="Z177" s="262"/>
      <c r="AA177" s="254">
        <f t="shared" si="46"/>
        <v>0</v>
      </c>
      <c r="AB177" s="262"/>
      <c r="AC177" s="262"/>
      <c r="AD177" s="262"/>
      <c r="AE177" s="262"/>
      <c r="AF177" s="262"/>
      <c r="AG177" s="262"/>
      <c r="AH177" s="262"/>
      <c r="AI177" s="262"/>
      <c r="AJ177" s="262"/>
      <c r="AK177" s="262"/>
      <c r="AL177" s="262"/>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2"/>
      <c r="BY177" s="262"/>
      <c r="BZ177" s="262"/>
      <c r="CA177" s="262"/>
      <c r="CB177" s="262"/>
      <c r="CC177" s="262"/>
      <c r="CD177" s="262"/>
      <c r="CE177" s="262"/>
      <c r="CF177" s="262"/>
      <c r="CG177" s="262"/>
      <c r="CH177" s="262"/>
      <c r="CI177" s="262"/>
      <c r="CJ177" s="262"/>
      <c r="CK177" s="262"/>
      <c r="CL177" s="262"/>
      <c r="CM177" s="262"/>
      <c r="CN177" s="262"/>
      <c r="CO177" s="262"/>
      <c r="CP177" s="262"/>
      <c r="CQ177" s="262"/>
      <c r="CR177" s="262"/>
      <c r="CS177" s="262"/>
      <c r="CT177" s="262"/>
      <c r="CU177" s="262"/>
      <c r="CV177" s="262"/>
      <c r="CW177" s="262"/>
      <c r="CX177" s="262"/>
      <c r="CY177" s="262"/>
      <c r="CZ177" s="262"/>
      <c r="DA177" s="262"/>
      <c r="DB177" s="262"/>
      <c r="DC177" s="262"/>
      <c r="DD177" s="262"/>
      <c r="DE177" s="262"/>
      <c r="DF177" s="262"/>
      <c r="DG177" s="262"/>
      <c r="DH177" s="262"/>
      <c r="DI177" s="262"/>
      <c r="DJ177" s="262"/>
      <c r="DK177" s="262"/>
      <c r="DL177" s="262"/>
      <c r="DM177" s="262"/>
      <c r="DN177" s="262"/>
      <c r="DO177" s="262"/>
      <c r="DP177" s="262"/>
      <c r="DQ177" s="262"/>
      <c r="DR177" s="262"/>
      <c r="DS177" s="262"/>
      <c r="DT177" s="262"/>
      <c r="DU177" s="262"/>
      <c r="DV177" s="262"/>
      <c r="DW177" s="262"/>
      <c r="DX177" s="262"/>
      <c r="DY177" s="262"/>
      <c r="DZ177" s="262"/>
      <c r="EA177" s="262"/>
      <c r="EB177" s="262"/>
      <c r="EC177" s="262"/>
      <c r="ED177" s="262"/>
      <c r="EE177" s="262"/>
      <c r="EF177" s="262"/>
      <c r="EG177" s="262"/>
      <c r="EH177" s="262"/>
      <c r="EI177" s="262"/>
      <c r="EJ177" s="262"/>
      <c r="EK177" s="262"/>
      <c r="EL177" s="262"/>
      <c r="EM177" s="262"/>
      <c r="EN177" s="262"/>
      <c r="EO177" s="262"/>
      <c r="EP177" s="262"/>
      <c r="EQ177" s="262"/>
      <c r="ER177" s="262"/>
      <c r="ES177" s="262"/>
      <c r="ET177" s="262"/>
      <c r="EU177" s="262"/>
      <c r="EV177" s="262"/>
      <c r="EW177" s="262"/>
      <c r="EX177" s="262"/>
      <c r="EY177" s="262"/>
      <c r="EZ177" s="262"/>
      <c r="FA177" s="262"/>
      <c r="FB177" s="262"/>
      <c r="FC177" s="262"/>
      <c r="FD177" s="262"/>
      <c r="FE177" s="262"/>
      <c r="FF177" s="262"/>
      <c r="FG177" s="262"/>
      <c r="FH177" s="262"/>
      <c r="FI177" s="262"/>
      <c r="FJ177" s="262"/>
      <c r="FK177" s="262"/>
      <c r="FL177" s="262"/>
      <c r="FM177" s="262"/>
      <c r="FN177" s="262"/>
      <c r="FO177" s="262"/>
      <c r="FP177" s="262"/>
      <c r="FQ177" s="262"/>
      <c r="FR177" s="262"/>
      <c r="FS177" s="262"/>
      <c r="FT177" s="262"/>
      <c r="FU177" s="262"/>
      <c r="FV177" s="262"/>
      <c r="FW177" s="262"/>
      <c r="FX177" s="262"/>
      <c r="FY177" s="262"/>
      <c r="FZ177" s="262"/>
      <c r="GA177" s="262"/>
      <c r="GB177" s="262"/>
      <c r="GC177" s="262"/>
      <c r="GD177" s="262"/>
      <c r="GE177" s="262"/>
      <c r="GF177" s="262"/>
      <c r="GG177" s="262"/>
      <c r="GH177" s="262"/>
      <c r="GI177" s="262"/>
      <c r="GJ177" s="262"/>
      <c r="GK177" s="262"/>
      <c r="GL177" s="262"/>
      <c r="GM177" s="262"/>
      <c r="GN177" s="262"/>
      <c r="GO177" s="262"/>
      <c r="GP177" s="262"/>
      <c r="GQ177" s="262"/>
      <c r="GR177" s="262"/>
      <c r="GS177" s="262"/>
      <c r="GT177" s="262"/>
      <c r="GU177" s="262"/>
      <c r="GV177" s="262"/>
      <c r="GW177" s="262"/>
      <c r="GX177" s="262"/>
      <c r="GY177" s="262"/>
      <c r="GZ177" s="262"/>
      <c r="HA177" s="262"/>
      <c r="HB177" s="262"/>
      <c r="HC177" s="262"/>
      <c r="HD177" s="262"/>
      <c r="HE177" s="262"/>
      <c r="HF177" s="262"/>
      <c r="HG177" s="262"/>
      <c r="HH177" s="262"/>
      <c r="HI177" s="262"/>
      <c r="HJ177" s="262"/>
      <c r="HK177" s="262"/>
      <c r="HL177" s="262"/>
      <c r="HM177" s="262"/>
      <c r="HN177" s="262"/>
      <c r="HO177" s="262"/>
      <c r="HP177" s="265"/>
      <c r="HQ177" s="265"/>
      <c r="HR177" s="265"/>
      <c r="HS177" s="265"/>
      <c r="HT177" s="265"/>
      <c r="HU177" s="265"/>
      <c r="HV177" s="265"/>
      <c r="HW177" s="265"/>
      <c r="HX177" s="265"/>
      <c r="HY177" s="265"/>
      <c r="HZ177" s="265"/>
      <c r="IA177" s="265"/>
      <c r="IB177" s="265"/>
      <c r="IC177" s="265"/>
      <c r="ID177" s="265"/>
      <c r="IE177" s="265"/>
      <c r="IF177" s="265"/>
      <c r="IG177" s="265"/>
      <c r="IH177" s="265"/>
      <c r="II177" s="265"/>
      <c r="IJ177" s="265"/>
      <c r="IK177" s="265"/>
      <c r="IL177" s="265"/>
      <c r="IM177" s="265"/>
      <c r="IN177" s="265"/>
      <c r="IO177" s="265"/>
      <c r="IP177" s="265"/>
      <c r="IQ177" s="265"/>
      <c r="IR177" s="265"/>
    </row>
    <row r="178" spans="1:27" s="207" customFormat="1" ht="24" customHeight="1">
      <c r="A178" s="234" t="s">
        <v>440</v>
      </c>
      <c r="B178" s="235">
        <f aca="true" t="shared" si="58" ref="B178:G178">SUM(B179:B183)</f>
        <v>397</v>
      </c>
      <c r="C178" s="235">
        <f t="shared" si="58"/>
        <v>397</v>
      </c>
      <c r="D178" s="235">
        <f t="shared" si="58"/>
        <v>0</v>
      </c>
      <c r="E178" s="235">
        <f t="shared" si="58"/>
        <v>182</v>
      </c>
      <c r="F178" s="235">
        <f t="shared" si="58"/>
        <v>182</v>
      </c>
      <c r="G178" s="235">
        <f t="shared" si="58"/>
        <v>0</v>
      </c>
      <c r="H178" s="231">
        <f t="shared" si="41"/>
        <v>0.45843828715365237</v>
      </c>
      <c r="I178" s="249"/>
      <c r="J178" s="250"/>
      <c r="O178" s="251"/>
      <c r="P178" s="234"/>
      <c r="Q178" s="254"/>
      <c r="R178" s="254"/>
      <c r="AA178" s="254">
        <f t="shared" si="46"/>
        <v>0</v>
      </c>
    </row>
    <row r="179" spans="1:27" s="207" customFormat="1" ht="24" customHeight="1">
      <c r="A179" s="234" t="s">
        <v>441</v>
      </c>
      <c r="B179" s="235">
        <f>407-10</f>
        <v>397</v>
      </c>
      <c r="C179" s="235">
        <f>407-10</f>
        <v>397</v>
      </c>
      <c r="D179" s="235"/>
      <c r="E179" s="235">
        <v>182</v>
      </c>
      <c r="F179" s="235">
        <f>163+19</f>
        <v>182</v>
      </c>
      <c r="G179" s="235"/>
      <c r="H179" s="231">
        <f t="shared" si="41"/>
        <v>0.45843828715365237</v>
      </c>
      <c r="I179" s="255"/>
      <c r="O179" s="251"/>
      <c r="P179" s="252"/>
      <c r="AA179" s="254">
        <f t="shared" si="46"/>
        <v>0</v>
      </c>
    </row>
    <row r="180" spans="1:27" s="207" customFormat="1" ht="24" customHeight="1">
      <c r="A180" s="234" t="s">
        <v>442</v>
      </c>
      <c r="B180" s="235"/>
      <c r="C180" s="235"/>
      <c r="D180" s="235"/>
      <c r="E180" s="235"/>
      <c r="F180" s="235"/>
      <c r="G180" s="235"/>
      <c r="H180" s="231" t="e">
        <f t="shared" si="41"/>
        <v>#DIV/0!</v>
      </c>
      <c r="I180" s="255"/>
      <c r="O180" s="251"/>
      <c r="P180" s="252"/>
      <c r="AA180" s="254">
        <f t="shared" si="46"/>
        <v>0</v>
      </c>
    </row>
    <row r="181" spans="1:27" s="207" customFormat="1" ht="24" customHeight="1">
      <c r="A181" s="234" t="s">
        <v>443</v>
      </c>
      <c r="B181" s="235"/>
      <c r="C181" s="235"/>
      <c r="D181" s="235"/>
      <c r="E181" s="235"/>
      <c r="F181" s="235"/>
      <c r="G181" s="235"/>
      <c r="H181" s="231" t="e">
        <f t="shared" si="41"/>
        <v>#DIV/0!</v>
      </c>
      <c r="I181" s="255"/>
      <c r="O181" s="251"/>
      <c r="P181" s="252"/>
      <c r="AA181" s="254">
        <f t="shared" si="46"/>
        <v>0</v>
      </c>
    </row>
    <row r="182" spans="1:27" s="207" customFormat="1" ht="24" customHeight="1">
      <c r="A182" s="234" t="s">
        <v>444</v>
      </c>
      <c r="B182" s="235"/>
      <c r="C182" s="235"/>
      <c r="D182" s="235"/>
      <c r="E182" s="235"/>
      <c r="F182" s="235"/>
      <c r="G182" s="235"/>
      <c r="H182" s="231" t="e">
        <f t="shared" si="41"/>
        <v>#DIV/0!</v>
      </c>
      <c r="I182" s="255"/>
      <c r="O182" s="251"/>
      <c r="P182" s="252"/>
      <c r="Q182" s="254"/>
      <c r="R182" s="254"/>
      <c r="AA182" s="254">
        <f t="shared" si="46"/>
        <v>0</v>
      </c>
    </row>
    <row r="183" spans="1:27" s="207" customFormat="1" ht="24" customHeight="1">
      <c r="A183" s="234" t="s">
        <v>445</v>
      </c>
      <c r="B183" s="235"/>
      <c r="C183" s="235"/>
      <c r="D183" s="235"/>
      <c r="E183" s="235"/>
      <c r="F183" s="235"/>
      <c r="G183" s="235"/>
      <c r="H183" s="231" t="e">
        <f t="shared" si="41"/>
        <v>#DIV/0!</v>
      </c>
      <c r="I183" s="255"/>
      <c r="O183" s="251"/>
      <c r="P183" s="252"/>
      <c r="AA183" s="254">
        <f t="shared" si="46"/>
        <v>0</v>
      </c>
    </row>
    <row r="184" spans="1:27" s="207" customFormat="1" ht="24" customHeight="1">
      <c r="A184" s="234" t="s">
        <v>446</v>
      </c>
      <c r="B184" s="235">
        <f aca="true" t="shared" si="59" ref="B184:G184">SUM(B185:B190)</f>
        <v>4019</v>
      </c>
      <c r="C184" s="235">
        <f t="shared" si="59"/>
        <v>4019</v>
      </c>
      <c r="D184" s="235">
        <f t="shared" si="59"/>
        <v>0</v>
      </c>
      <c r="E184" s="235">
        <f t="shared" si="59"/>
        <v>5694</v>
      </c>
      <c r="F184" s="235">
        <f t="shared" si="59"/>
        <v>5694</v>
      </c>
      <c r="G184" s="235">
        <f t="shared" si="59"/>
        <v>0</v>
      </c>
      <c r="H184" s="231">
        <f t="shared" si="41"/>
        <v>1.416770340880816</v>
      </c>
      <c r="I184" s="249"/>
      <c r="J184" s="250"/>
      <c r="O184" s="251"/>
      <c r="P184" s="252"/>
      <c r="AA184" s="254">
        <f t="shared" si="46"/>
        <v>0</v>
      </c>
    </row>
    <row r="185" spans="1:27" s="207" customFormat="1" ht="27" customHeight="1">
      <c r="A185" s="234" t="s">
        <v>447</v>
      </c>
      <c r="B185" s="235"/>
      <c r="C185" s="235"/>
      <c r="D185" s="235"/>
      <c r="E185" s="235"/>
      <c r="F185" s="235"/>
      <c r="G185" s="235"/>
      <c r="H185" s="231" t="e">
        <f t="shared" si="41"/>
        <v>#DIV/0!</v>
      </c>
      <c r="I185" s="255"/>
      <c r="O185" s="251"/>
      <c r="P185" s="252"/>
      <c r="AA185" s="254">
        <f t="shared" si="46"/>
        <v>0</v>
      </c>
    </row>
    <row r="186" spans="1:27" s="207" customFormat="1" ht="24" customHeight="1">
      <c r="A186" s="234" t="s">
        <v>448</v>
      </c>
      <c r="B186" s="235"/>
      <c r="C186" s="235"/>
      <c r="D186" s="235"/>
      <c r="E186" s="235"/>
      <c r="F186" s="235"/>
      <c r="G186" s="235"/>
      <c r="H186" s="231" t="e">
        <f t="shared" si="41"/>
        <v>#DIV/0!</v>
      </c>
      <c r="I186" s="255"/>
      <c r="O186" s="251"/>
      <c r="P186" s="252"/>
      <c r="AA186" s="254">
        <f t="shared" si="46"/>
        <v>0</v>
      </c>
    </row>
    <row r="187" spans="1:27" s="207" customFormat="1" ht="28.5" customHeight="1">
      <c r="A187" s="234" t="s">
        <v>449</v>
      </c>
      <c r="B187" s="235"/>
      <c r="C187" s="235"/>
      <c r="D187" s="235"/>
      <c r="E187" s="235"/>
      <c r="F187" s="235"/>
      <c r="G187" s="235"/>
      <c r="H187" s="231" t="e">
        <f t="shared" si="41"/>
        <v>#DIV/0!</v>
      </c>
      <c r="I187" s="255"/>
      <c r="O187" s="251"/>
      <c r="P187" s="252"/>
      <c r="AA187" s="254">
        <f t="shared" si="46"/>
        <v>0</v>
      </c>
    </row>
    <row r="188" spans="1:27" s="207" customFormat="1" ht="28.5" customHeight="1">
      <c r="A188" s="234" t="s">
        <v>450</v>
      </c>
      <c r="B188" s="235">
        <v>3647</v>
      </c>
      <c r="C188" s="235">
        <f>3647</f>
        <v>3647</v>
      </c>
      <c r="D188" s="235"/>
      <c r="E188" s="235">
        <v>5455</v>
      </c>
      <c r="F188" s="235">
        <f>5487-30-2</f>
        <v>5455</v>
      </c>
      <c r="G188" s="235"/>
      <c r="H188" s="231">
        <f t="shared" si="41"/>
        <v>1.4957499314505072</v>
      </c>
      <c r="I188" s="255"/>
      <c r="O188" s="251"/>
      <c r="P188" s="252"/>
      <c r="AA188" s="254">
        <f t="shared" si="46"/>
        <v>0</v>
      </c>
    </row>
    <row r="189" spans="1:252" s="207" customFormat="1" ht="28.5" customHeight="1">
      <c r="A189" s="234" t="s">
        <v>451</v>
      </c>
      <c r="B189" s="235"/>
      <c r="C189" s="235"/>
      <c r="D189" s="235"/>
      <c r="E189" s="235"/>
      <c r="F189" s="235"/>
      <c r="G189" s="235"/>
      <c r="H189" s="231" t="e">
        <f t="shared" si="41"/>
        <v>#DIV/0!</v>
      </c>
      <c r="I189" s="255"/>
      <c r="J189" s="254"/>
      <c r="K189" s="254"/>
      <c r="L189" s="254"/>
      <c r="M189" s="254"/>
      <c r="N189" s="254"/>
      <c r="O189" s="251"/>
      <c r="P189" s="252"/>
      <c r="X189" s="262"/>
      <c r="Y189" s="262"/>
      <c r="Z189" s="262"/>
      <c r="AA189" s="254">
        <f t="shared" si="46"/>
        <v>0</v>
      </c>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c r="BQ189" s="262"/>
      <c r="BR189" s="262"/>
      <c r="BS189" s="262"/>
      <c r="BT189" s="262"/>
      <c r="BU189" s="262"/>
      <c r="BV189" s="262"/>
      <c r="BW189" s="262"/>
      <c r="BX189" s="262"/>
      <c r="BY189" s="262"/>
      <c r="BZ189" s="262"/>
      <c r="CA189" s="262"/>
      <c r="CB189" s="262"/>
      <c r="CC189" s="262"/>
      <c r="CD189" s="262"/>
      <c r="CE189" s="262"/>
      <c r="CF189" s="262"/>
      <c r="CG189" s="262"/>
      <c r="CH189" s="262"/>
      <c r="CI189" s="262"/>
      <c r="CJ189" s="262"/>
      <c r="CK189" s="262"/>
      <c r="CL189" s="262"/>
      <c r="CM189" s="262"/>
      <c r="CN189" s="262"/>
      <c r="CO189" s="262"/>
      <c r="CP189" s="262"/>
      <c r="CQ189" s="262"/>
      <c r="CR189" s="262"/>
      <c r="CS189" s="262"/>
      <c r="CT189" s="262"/>
      <c r="CU189" s="262"/>
      <c r="CV189" s="262"/>
      <c r="CW189" s="262"/>
      <c r="CX189" s="262"/>
      <c r="CY189" s="262"/>
      <c r="CZ189" s="262"/>
      <c r="DA189" s="262"/>
      <c r="DB189" s="262"/>
      <c r="DC189" s="262"/>
      <c r="DD189" s="262"/>
      <c r="DE189" s="262"/>
      <c r="DF189" s="262"/>
      <c r="DG189" s="262"/>
      <c r="DH189" s="262"/>
      <c r="DI189" s="262"/>
      <c r="DJ189" s="262"/>
      <c r="DK189" s="262"/>
      <c r="DL189" s="262"/>
      <c r="DM189" s="262"/>
      <c r="DN189" s="262"/>
      <c r="DO189" s="262"/>
      <c r="DP189" s="262"/>
      <c r="DQ189" s="262"/>
      <c r="DR189" s="262"/>
      <c r="DS189" s="262"/>
      <c r="DT189" s="262"/>
      <c r="DU189" s="262"/>
      <c r="DV189" s="262"/>
      <c r="DW189" s="262"/>
      <c r="DX189" s="262"/>
      <c r="DY189" s="262"/>
      <c r="DZ189" s="262"/>
      <c r="EA189" s="262"/>
      <c r="EB189" s="262"/>
      <c r="EC189" s="262"/>
      <c r="ED189" s="262"/>
      <c r="EE189" s="262"/>
      <c r="EF189" s="262"/>
      <c r="EG189" s="262"/>
      <c r="EH189" s="262"/>
      <c r="EI189" s="262"/>
      <c r="EJ189" s="262"/>
      <c r="EK189" s="262"/>
      <c r="EL189" s="262"/>
      <c r="EM189" s="262"/>
      <c r="EN189" s="262"/>
      <c r="EO189" s="262"/>
      <c r="EP189" s="262"/>
      <c r="EQ189" s="262"/>
      <c r="ER189" s="262"/>
      <c r="ES189" s="262"/>
      <c r="ET189" s="262"/>
      <c r="EU189" s="262"/>
      <c r="EV189" s="262"/>
      <c r="EW189" s="262"/>
      <c r="EX189" s="262"/>
      <c r="EY189" s="262"/>
      <c r="EZ189" s="262"/>
      <c r="FA189" s="262"/>
      <c r="FB189" s="262"/>
      <c r="FC189" s="262"/>
      <c r="FD189" s="262"/>
      <c r="FE189" s="262"/>
      <c r="FF189" s="262"/>
      <c r="FG189" s="262"/>
      <c r="FH189" s="262"/>
      <c r="FI189" s="262"/>
      <c r="FJ189" s="262"/>
      <c r="FK189" s="262"/>
      <c r="FL189" s="262"/>
      <c r="FM189" s="262"/>
      <c r="FN189" s="262"/>
      <c r="FO189" s="262"/>
      <c r="FP189" s="262"/>
      <c r="FQ189" s="262"/>
      <c r="FR189" s="262"/>
      <c r="FS189" s="262"/>
      <c r="FT189" s="262"/>
      <c r="FU189" s="262"/>
      <c r="FV189" s="262"/>
      <c r="FW189" s="262"/>
      <c r="FX189" s="262"/>
      <c r="FY189" s="262"/>
      <c r="FZ189" s="262"/>
      <c r="GA189" s="262"/>
      <c r="GB189" s="262"/>
      <c r="GC189" s="262"/>
      <c r="GD189" s="262"/>
      <c r="GE189" s="262"/>
      <c r="GF189" s="262"/>
      <c r="GG189" s="262"/>
      <c r="GH189" s="262"/>
      <c r="GI189" s="262"/>
      <c r="GJ189" s="262"/>
      <c r="GK189" s="262"/>
      <c r="GL189" s="262"/>
      <c r="GM189" s="262"/>
      <c r="GN189" s="262"/>
      <c r="GO189" s="262"/>
      <c r="GP189" s="262"/>
      <c r="GQ189" s="262"/>
      <c r="GR189" s="262"/>
      <c r="GS189" s="262"/>
      <c r="GT189" s="262"/>
      <c r="GU189" s="262"/>
      <c r="GV189" s="262"/>
      <c r="GW189" s="262"/>
      <c r="GX189" s="262"/>
      <c r="GY189" s="262"/>
      <c r="GZ189" s="262"/>
      <c r="HA189" s="262"/>
      <c r="HB189" s="262"/>
      <c r="HC189" s="262"/>
      <c r="HD189" s="262"/>
      <c r="HE189" s="262"/>
      <c r="HF189" s="262"/>
      <c r="HG189" s="262"/>
      <c r="HH189" s="262"/>
      <c r="HI189" s="262"/>
      <c r="HJ189" s="262"/>
      <c r="HK189" s="262"/>
      <c r="HL189" s="262"/>
      <c r="HM189" s="262"/>
      <c r="HN189" s="262"/>
      <c r="HO189" s="262"/>
      <c r="HP189" s="265"/>
      <c r="HQ189" s="265"/>
      <c r="HR189" s="265"/>
      <c r="HS189" s="265"/>
      <c r="HT189" s="265"/>
      <c r="HU189" s="265"/>
      <c r="HV189" s="265"/>
      <c r="HW189" s="265"/>
      <c r="HX189" s="265"/>
      <c r="HY189" s="265"/>
      <c r="HZ189" s="265"/>
      <c r="IA189" s="265"/>
      <c r="IB189" s="265"/>
      <c r="IC189" s="265"/>
      <c r="ID189" s="265"/>
      <c r="IE189" s="265"/>
      <c r="IF189" s="265"/>
      <c r="IG189" s="265"/>
      <c r="IH189" s="265"/>
      <c r="II189" s="265"/>
      <c r="IJ189" s="265"/>
      <c r="IK189" s="265"/>
      <c r="IL189" s="265"/>
      <c r="IM189" s="265"/>
      <c r="IN189" s="265"/>
      <c r="IO189" s="265"/>
      <c r="IP189" s="265"/>
      <c r="IQ189" s="265"/>
      <c r="IR189" s="265"/>
    </row>
    <row r="190" spans="1:27" s="207" customFormat="1" ht="28.5" customHeight="1">
      <c r="A190" s="234" t="s">
        <v>452</v>
      </c>
      <c r="B190" s="235">
        <v>372</v>
      </c>
      <c r="C190" s="235">
        <f>238+66+68</f>
        <v>372</v>
      </c>
      <c r="D190" s="235"/>
      <c r="E190" s="235">
        <v>239</v>
      </c>
      <c r="F190" s="235">
        <f>104+65+68+2</f>
        <v>239</v>
      </c>
      <c r="G190" s="235"/>
      <c r="H190" s="231">
        <f t="shared" si="41"/>
        <v>0.6424731182795699</v>
      </c>
      <c r="I190" s="269"/>
      <c r="O190" s="251"/>
      <c r="P190" s="252"/>
      <c r="AA190" s="254">
        <f t="shared" si="46"/>
        <v>0</v>
      </c>
    </row>
    <row r="191" spans="1:27" s="207" customFormat="1" ht="24" customHeight="1">
      <c r="A191" s="234" t="s">
        <v>453</v>
      </c>
      <c r="B191" s="235">
        <f aca="true" t="shared" si="60" ref="B191:G191">SUM(B192)</f>
        <v>0</v>
      </c>
      <c r="C191" s="235">
        <f t="shared" si="60"/>
        <v>0</v>
      </c>
      <c r="D191" s="235">
        <f t="shared" si="60"/>
        <v>122</v>
      </c>
      <c r="E191" s="235">
        <f t="shared" si="60"/>
        <v>0</v>
      </c>
      <c r="F191" s="235">
        <f t="shared" si="60"/>
        <v>0</v>
      </c>
      <c r="G191" s="235">
        <f t="shared" si="60"/>
        <v>0</v>
      </c>
      <c r="H191" s="231" t="e">
        <f t="shared" si="41"/>
        <v>#DIV/0!</v>
      </c>
      <c r="I191" s="255"/>
      <c r="O191" s="251"/>
      <c r="P191" s="252"/>
      <c r="AA191" s="254">
        <f t="shared" si="46"/>
        <v>0</v>
      </c>
    </row>
    <row r="192" spans="1:252" s="207" customFormat="1" ht="24" customHeight="1">
      <c r="A192" s="234" t="s">
        <v>454</v>
      </c>
      <c r="B192" s="235"/>
      <c r="C192" s="235"/>
      <c r="D192" s="235">
        <v>122</v>
      </c>
      <c r="E192" s="235"/>
      <c r="F192" s="235"/>
      <c r="G192" s="235"/>
      <c r="H192" s="231" t="e">
        <f t="shared" si="41"/>
        <v>#DIV/0!</v>
      </c>
      <c r="I192" s="255"/>
      <c r="J192" s="254"/>
      <c r="K192" s="254"/>
      <c r="L192" s="254"/>
      <c r="M192" s="254"/>
      <c r="N192" s="254"/>
      <c r="O192" s="251"/>
      <c r="P192" s="252"/>
      <c r="X192" s="262"/>
      <c r="Y192" s="262"/>
      <c r="Z192" s="262"/>
      <c r="AA192" s="254">
        <f t="shared" si="46"/>
        <v>0</v>
      </c>
      <c r="AB192" s="262"/>
      <c r="AC192" s="262"/>
      <c r="AD192" s="262"/>
      <c r="AE192" s="262"/>
      <c r="AF192" s="262"/>
      <c r="AG192" s="262"/>
      <c r="AH192" s="262"/>
      <c r="AI192" s="262"/>
      <c r="AJ192" s="262"/>
      <c r="AK192" s="262"/>
      <c r="AL192" s="262"/>
      <c r="AM192" s="262"/>
      <c r="AN192" s="262"/>
      <c r="AO192" s="262"/>
      <c r="AP192" s="262"/>
      <c r="AQ192" s="262"/>
      <c r="AR192" s="262"/>
      <c r="AS192" s="262"/>
      <c r="AT192" s="262"/>
      <c r="AU192" s="262"/>
      <c r="AV192" s="262"/>
      <c r="AW192" s="262"/>
      <c r="AX192" s="262"/>
      <c r="AY192" s="262"/>
      <c r="AZ192" s="262"/>
      <c r="BA192" s="262"/>
      <c r="BB192" s="262"/>
      <c r="BC192" s="262"/>
      <c r="BD192" s="262"/>
      <c r="BE192" s="262"/>
      <c r="BF192" s="262"/>
      <c r="BG192" s="262"/>
      <c r="BH192" s="262"/>
      <c r="BI192" s="262"/>
      <c r="BJ192" s="262"/>
      <c r="BK192" s="262"/>
      <c r="BL192" s="262"/>
      <c r="BM192" s="262"/>
      <c r="BN192" s="262"/>
      <c r="BO192" s="262"/>
      <c r="BP192" s="262"/>
      <c r="BQ192" s="262"/>
      <c r="BR192" s="262"/>
      <c r="BS192" s="262"/>
      <c r="BT192" s="262"/>
      <c r="BU192" s="262"/>
      <c r="BV192" s="262"/>
      <c r="BW192" s="262"/>
      <c r="BX192" s="262"/>
      <c r="BY192" s="262"/>
      <c r="BZ192" s="262"/>
      <c r="CA192" s="262"/>
      <c r="CB192" s="262"/>
      <c r="CC192" s="262"/>
      <c r="CD192" s="262"/>
      <c r="CE192" s="262"/>
      <c r="CF192" s="262"/>
      <c r="CG192" s="262"/>
      <c r="CH192" s="262"/>
      <c r="CI192" s="262"/>
      <c r="CJ192" s="262"/>
      <c r="CK192" s="262"/>
      <c r="CL192" s="262"/>
      <c r="CM192" s="262"/>
      <c r="CN192" s="262"/>
      <c r="CO192" s="262"/>
      <c r="CP192" s="262"/>
      <c r="CQ192" s="262"/>
      <c r="CR192" s="262"/>
      <c r="CS192" s="262"/>
      <c r="CT192" s="262"/>
      <c r="CU192" s="262"/>
      <c r="CV192" s="262"/>
      <c r="CW192" s="262"/>
      <c r="CX192" s="262"/>
      <c r="CY192" s="262"/>
      <c r="CZ192" s="262"/>
      <c r="DA192" s="262"/>
      <c r="DB192" s="262"/>
      <c r="DC192" s="262"/>
      <c r="DD192" s="262"/>
      <c r="DE192" s="262"/>
      <c r="DF192" s="262"/>
      <c r="DG192" s="262"/>
      <c r="DH192" s="262"/>
      <c r="DI192" s="262"/>
      <c r="DJ192" s="262"/>
      <c r="DK192" s="262"/>
      <c r="DL192" s="262"/>
      <c r="DM192" s="262"/>
      <c r="DN192" s="262"/>
      <c r="DO192" s="262"/>
      <c r="DP192" s="262"/>
      <c r="DQ192" s="262"/>
      <c r="DR192" s="262"/>
      <c r="DS192" s="262"/>
      <c r="DT192" s="262"/>
      <c r="DU192" s="262"/>
      <c r="DV192" s="262"/>
      <c r="DW192" s="262"/>
      <c r="DX192" s="262"/>
      <c r="DY192" s="262"/>
      <c r="DZ192" s="262"/>
      <c r="EA192" s="262"/>
      <c r="EB192" s="262"/>
      <c r="EC192" s="262"/>
      <c r="ED192" s="262"/>
      <c r="EE192" s="262"/>
      <c r="EF192" s="262"/>
      <c r="EG192" s="262"/>
      <c r="EH192" s="262"/>
      <c r="EI192" s="262"/>
      <c r="EJ192" s="262"/>
      <c r="EK192" s="262"/>
      <c r="EL192" s="262"/>
      <c r="EM192" s="262"/>
      <c r="EN192" s="262"/>
      <c r="EO192" s="262"/>
      <c r="EP192" s="262"/>
      <c r="EQ192" s="262"/>
      <c r="ER192" s="262"/>
      <c r="ES192" s="262"/>
      <c r="ET192" s="262"/>
      <c r="EU192" s="262"/>
      <c r="EV192" s="262"/>
      <c r="EW192" s="262"/>
      <c r="EX192" s="262"/>
      <c r="EY192" s="262"/>
      <c r="EZ192" s="262"/>
      <c r="FA192" s="262"/>
      <c r="FB192" s="262"/>
      <c r="FC192" s="262"/>
      <c r="FD192" s="262"/>
      <c r="FE192" s="262"/>
      <c r="FF192" s="262"/>
      <c r="FG192" s="262"/>
      <c r="FH192" s="262"/>
      <c r="FI192" s="262"/>
      <c r="FJ192" s="262"/>
      <c r="FK192" s="262"/>
      <c r="FL192" s="262"/>
      <c r="FM192" s="262"/>
      <c r="FN192" s="262"/>
      <c r="FO192" s="262"/>
      <c r="FP192" s="262"/>
      <c r="FQ192" s="262"/>
      <c r="FR192" s="262"/>
      <c r="FS192" s="262"/>
      <c r="FT192" s="262"/>
      <c r="FU192" s="262"/>
      <c r="FV192" s="262"/>
      <c r="FW192" s="262"/>
      <c r="FX192" s="262"/>
      <c r="FY192" s="262"/>
      <c r="FZ192" s="262"/>
      <c r="GA192" s="262"/>
      <c r="GB192" s="262"/>
      <c r="GC192" s="262"/>
      <c r="GD192" s="262"/>
      <c r="GE192" s="262"/>
      <c r="GF192" s="262"/>
      <c r="GG192" s="262"/>
      <c r="GH192" s="262"/>
      <c r="GI192" s="262"/>
      <c r="GJ192" s="262"/>
      <c r="GK192" s="262"/>
      <c r="GL192" s="262"/>
      <c r="GM192" s="262"/>
      <c r="GN192" s="262"/>
      <c r="GO192" s="262"/>
      <c r="GP192" s="262"/>
      <c r="GQ192" s="262"/>
      <c r="GR192" s="262"/>
      <c r="GS192" s="262"/>
      <c r="GT192" s="262"/>
      <c r="GU192" s="262"/>
      <c r="GV192" s="262"/>
      <c r="GW192" s="262"/>
      <c r="GX192" s="262"/>
      <c r="GY192" s="262"/>
      <c r="GZ192" s="262"/>
      <c r="HA192" s="262"/>
      <c r="HB192" s="262"/>
      <c r="HC192" s="262"/>
      <c r="HD192" s="262"/>
      <c r="HE192" s="262"/>
      <c r="HF192" s="262"/>
      <c r="HG192" s="262"/>
      <c r="HH192" s="262"/>
      <c r="HI192" s="262"/>
      <c r="HJ192" s="262"/>
      <c r="HK192" s="262"/>
      <c r="HL192" s="262"/>
      <c r="HM192" s="262"/>
      <c r="HN192" s="262"/>
      <c r="HO192" s="262"/>
      <c r="HP192" s="265"/>
      <c r="HQ192" s="265"/>
      <c r="HR192" s="265"/>
      <c r="HS192" s="265"/>
      <c r="HT192" s="265"/>
      <c r="HU192" s="265"/>
      <c r="HV192" s="265"/>
      <c r="HW192" s="265"/>
      <c r="HX192" s="265"/>
      <c r="HY192" s="265"/>
      <c r="HZ192" s="265"/>
      <c r="IA192" s="265"/>
      <c r="IB192" s="265"/>
      <c r="IC192" s="265"/>
      <c r="ID192" s="265"/>
      <c r="IE192" s="265"/>
      <c r="IF192" s="265"/>
      <c r="IG192" s="265"/>
      <c r="IH192" s="265"/>
      <c r="II192" s="265"/>
      <c r="IJ192" s="265"/>
      <c r="IK192" s="265"/>
      <c r="IL192" s="265"/>
      <c r="IM192" s="265"/>
      <c r="IN192" s="265"/>
      <c r="IO192" s="265"/>
      <c r="IP192" s="265"/>
      <c r="IQ192" s="265"/>
      <c r="IR192" s="265"/>
    </row>
    <row r="193" spans="1:27" s="207" customFormat="1" ht="24" customHeight="1">
      <c r="A193" s="234" t="s">
        <v>455</v>
      </c>
      <c r="B193" s="235">
        <f aca="true" t="shared" si="61" ref="B193:G193">SUM(B194:B196)</f>
        <v>145</v>
      </c>
      <c r="C193" s="235">
        <f t="shared" si="61"/>
        <v>145</v>
      </c>
      <c r="D193" s="235">
        <f t="shared" si="61"/>
        <v>464</v>
      </c>
      <c r="E193" s="235">
        <f t="shared" si="61"/>
        <v>145</v>
      </c>
      <c r="F193" s="235">
        <f t="shared" si="61"/>
        <v>145</v>
      </c>
      <c r="G193" s="235">
        <f t="shared" si="61"/>
        <v>0</v>
      </c>
      <c r="H193" s="231">
        <f t="shared" si="41"/>
        <v>1</v>
      </c>
      <c r="I193" s="249"/>
      <c r="J193" s="250"/>
      <c r="O193" s="251"/>
      <c r="P193" s="234"/>
      <c r="Q193" s="268"/>
      <c r="R193" s="268"/>
      <c r="S193" s="268"/>
      <c r="AA193" s="254">
        <f t="shared" si="46"/>
        <v>0</v>
      </c>
    </row>
    <row r="194" spans="1:27" s="207" customFormat="1" ht="24" customHeight="1">
      <c r="A194" s="234" t="s">
        <v>456</v>
      </c>
      <c r="B194" s="235"/>
      <c r="C194" s="235"/>
      <c r="D194" s="235"/>
      <c r="E194" s="235"/>
      <c r="F194" s="235"/>
      <c r="G194" s="235"/>
      <c r="H194" s="231" t="e">
        <f t="shared" si="41"/>
        <v>#DIV/0!</v>
      </c>
      <c r="I194" s="255"/>
      <c r="O194" s="251"/>
      <c r="P194" s="252"/>
      <c r="AA194" s="254">
        <f t="shared" si="46"/>
        <v>0</v>
      </c>
    </row>
    <row r="195" spans="1:27" s="207" customFormat="1" ht="27.75" customHeight="1">
      <c r="A195" s="234" t="s">
        <v>457</v>
      </c>
      <c r="B195" s="235">
        <v>145</v>
      </c>
      <c r="C195" s="235">
        <f>145</f>
        <v>145</v>
      </c>
      <c r="D195" s="235"/>
      <c r="E195" s="235">
        <v>145</v>
      </c>
      <c r="F195" s="235">
        <f>145</f>
        <v>145</v>
      </c>
      <c r="G195" s="235"/>
      <c r="H195" s="231">
        <f aca="true" t="shared" si="62" ref="H195:H258">E195/B195</f>
        <v>1</v>
      </c>
      <c r="I195" s="255" t="s">
        <v>458</v>
      </c>
      <c r="O195" s="251"/>
      <c r="P195" s="252"/>
      <c r="AA195" s="254"/>
    </row>
    <row r="196" spans="1:27" s="207" customFormat="1" ht="27.75" customHeight="1">
      <c r="A196" s="234" t="s">
        <v>459</v>
      </c>
      <c r="B196" s="235"/>
      <c r="C196" s="235"/>
      <c r="D196" s="235">
        <v>464</v>
      </c>
      <c r="E196" s="235"/>
      <c r="F196" s="235"/>
      <c r="G196" s="235"/>
      <c r="H196" s="231" t="e">
        <f t="shared" si="62"/>
        <v>#DIV/0!</v>
      </c>
      <c r="I196" s="255"/>
      <c r="O196" s="251"/>
      <c r="P196" s="252"/>
      <c r="AA196" s="254">
        <f aca="true" t="shared" si="63" ref="AA196:AA210">F196-E196</f>
        <v>0</v>
      </c>
    </row>
    <row r="197" spans="1:27" s="207" customFormat="1" ht="24" customHeight="1">
      <c r="A197" s="234" t="s">
        <v>460</v>
      </c>
      <c r="B197" s="235">
        <f aca="true" t="shared" si="64" ref="B197:G197">SUM(B198:B201)</f>
        <v>0</v>
      </c>
      <c r="C197" s="235">
        <f t="shared" si="64"/>
        <v>0</v>
      </c>
      <c r="D197" s="235">
        <f t="shared" si="64"/>
        <v>35</v>
      </c>
      <c r="E197" s="235">
        <f t="shared" si="64"/>
        <v>0</v>
      </c>
      <c r="F197" s="235">
        <f t="shared" si="64"/>
        <v>0</v>
      </c>
      <c r="G197" s="235">
        <f t="shared" si="64"/>
        <v>19</v>
      </c>
      <c r="H197" s="231" t="e">
        <f t="shared" si="62"/>
        <v>#DIV/0!</v>
      </c>
      <c r="I197" s="249"/>
      <c r="J197" s="250"/>
      <c r="O197" s="251"/>
      <c r="P197" s="252"/>
      <c r="Q197" s="268"/>
      <c r="R197" s="268"/>
      <c r="S197" s="268"/>
      <c r="AA197" s="254">
        <f t="shared" si="63"/>
        <v>0</v>
      </c>
    </row>
    <row r="198" spans="1:27" s="207" customFormat="1" ht="24" customHeight="1">
      <c r="A198" s="234" t="s">
        <v>461</v>
      </c>
      <c r="B198" s="235"/>
      <c r="C198" s="235"/>
      <c r="D198" s="235">
        <v>35</v>
      </c>
      <c r="E198" s="235"/>
      <c r="F198" s="235"/>
      <c r="G198" s="235">
        <v>19</v>
      </c>
      <c r="H198" s="231" t="e">
        <f t="shared" si="62"/>
        <v>#DIV/0!</v>
      </c>
      <c r="I198" s="255"/>
      <c r="O198" s="251"/>
      <c r="P198" s="252"/>
      <c r="AA198" s="254">
        <f t="shared" si="63"/>
        <v>0</v>
      </c>
    </row>
    <row r="199" spans="1:27" s="207" customFormat="1" ht="27.75" customHeight="1">
      <c r="A199" s="234" t="s">
        <v>462</v>
      </c>
      <c r="B199" s="235"/>
      <c r="C199" s="235"/>
      <c r="D199" s="235"/>
      <c r="E199" s="235"/>
      <c r="F199" s="235"/>
      <c r="G199" s="235"/>
      <c r="H199" s="231" t="e">
        <f t="shared" si="62"/>
        <v>#DIV/0!</v>
      </c>
      <c r="I199" s="255"/>
      <c r="O199" s="251"/>
      <c r="P199" s="252"/>
      <c r="AA199" s="254">
        <f t="shared" si="63"/>
        <v>0</v>
      </c>
    </row>
    <row r="200" spans="1:27" s="207" customFormat="1" ht="27.75" customHeight="1">
      <c r="A200" s="234" t="s">
        <v>463</v>
      </c>
      <c r="B200" s="235"/>
      <c r="C200" s="235"/>
      <c r="D200" s="235"/>
      <c r="E200" s="235"/>
      <c r="F200" s="235"/>
      <c r="G200" s="235"/>
      <c r="H200" s="231" t="e">
        <f t="shared" si="62"/>
        <v>#DIV/0!</v>
      </c>
      <c r="I200" s="255"/>
      <c r="O200" s="251"/>
      <c r="P200" s="252"/>
      <c r="AA200" s="254">
        <f t="shared" si="63"/>
        <v>0</v>
      </c>
    </row>
    <row r="201" spans="1:27" s="207" customFormat="1" ht="27.75" customHeight="1">
      <c r="A201" s="234" t="s">
        <v>464</v>
      </c>
      <c r="B201" s="235"/>
      <c r="C201" s="235"/>
      <c r="D201" s="235"/>
      <c r="E201" s="235"/>
      <c r="F201" s="235"/>
      <c r="G201" s="235"/>
      <c r="H201" s="231" t="e">
        <f t="shared" si="62"/>
        <v>#DIV/0!</v>
      </c>
      <c r="I201" s="255"/>
      <c r="O201" s="251"/>
      <c r="P201" s="252"/>
      <c r="AA201" s="254">
        <f t="shared" si="63"/>
        <v>0</v>
      </c>
    </row>
    <row r="202" spans="1:27" s="207" customFormat="1" ht="24" customHeight="1">
      <c r="A202" s="234" t="s">
        <v>465</v>
      </c>
      <c r="B202" s="235">
        <f aca="true" t="shared" si="65" ref="B202:G202">SUM(B203:B206)</f>
        <v>25</v>
      </c>
      <c r="C202" s="235">
        <f t="shared" si="65"/>
        <v>25</v>
      </c>
      <c r="D202" s="235">
        <f t="shared" si="65"/>
        <v>6</v>
      </c>
      <c r="E202" s="235">
        <f t="shared" si="65"/>
        <v>18</v>
      </c>
      <c r="F202" s="235">
        <f t="shared" si="65"/>
        <v>18</v>
      </c>
      <c r="G202" s="235">
        <f t="shared" si="65"/>
        <v>0</v>
      </c>
      <c r="H202" s="231">
        <f t="shared" si="62"/>
        <v>0.72</v>
      </c>
      <c r="I202" s="249"/>
      <c r="J202" s="272"/>
      <c r="O202" s="251"/>
      <c r="P202" s="234"/>
      <c r="AA202" s="254">
        <f t="shared" si="63"/>
        <v>0</v>
      </c>
    </row>
    <row r="203" spans="1:27" s="207" customFormat="1" ht="30" customHeight="1">
      <c r="A203" s="234" t="s">
        <v>466</v>
      </c>
      <c r="B203" s="235">
        <v>25</v>
      </c>
      <c r="C203" s="235">
        <v>25</v>
      </c>
      <c r="D203" s="235">
        <v>6</v>
      </c>
      <c r="E203" s="235">
        <v>18</v>
      </c>
      <c r="F203" s="235">
        <v>18</v>
      </c>
      <c r="G203" s="235"/>
      <c r="H203" s="231">
        <f t="shared" si="62"/>
        <v>0.72</v>
      </c>
      <c r="I203" s="255" t="s">
        <v>467</v>
      </c>
      <c r="J203" s="272"/>
      <c r="O203" s="251"/>
      <c r="P203" s="252"/>
      <c r="AA203" s="254">
        <f t="shared" si="63"/>
        <v>0</v>
      </c>
    </row>
    <row r="204" spans="1:252" s="207" customFormat="1" ht="24" customHeight="1">
      <c r="A204" s="234" t="s">
        <v>468</v>
      </c>
      <c r="B204" s="235"/>
      <c r="C204" s="235"/>
      <c r="D204" s="235"/>
      <c r="E204" s="235"/>
      <c r="F204" s="235"/>
      <c r="G204" s="235"/>
      <c r="H204" s="231" t="e">
        <f t="shared" si="62"/>
        <v>#DIV/0!</v>
      </c>
      <c r="I204" s="255"/>
      <c r="J204" s="272"/>
      <c r="K204" s="254"/>
      <c r="L204" s="254"/>
      <c r="M204" s="254"/>
      <c r="N204" s="254"/>
      <c r="O204" s="251"/>
      <c r="P204" s="252"/>
      <c r="X204" s="262"/>
      <c r="Y204" s="262"/>
      <c r="Z204" s="262"/>
      <c r="AA204" s="254">
        <f t="shared" si="63"/>
        <v>0</v>
      </c>
      <c r="AB204" s="262"/>
      <c r="AC204" s="262"/>
      <c r="AD204" s="262"/>
      <c r="AE204" s="262"/>
      <c r="AF204" s="262"/>
      <c r="AG204" s="262"/>
      <c r="AH204" s="262"/>
      <c r="AI204" s="262"/>
      <c r="AJ204" s="262"/>
      <c r="AK204" s="262"/>
      <c r="AL204" s="262"/>
      <c r="AM204" s="262"/>
      <c r="AN204" s="262"/>
      <c r="AO204" s="262"/>
      <c r="AP204" s="262"/>
      <c r="AQ204" s="262"/>
      <c r="AR204" s="262"/>
      <c r="AS204" s="262"/>
      <c r="AT204" s="262"/>
      <c r="AU204" s="262"/>
      <c r="AV204" s="262"/>
      <c r="AW204" s="262"/>
      <c r="AX204" s="262"/>
      <c r="AY204" s="262"/>
      <c r="AZ204" s="262"/>
      <c r="BA204" s="262"/>
      <c r="BB204" s="262"/>
      <c r="BC204" s="262"/>
      <c r="BD204" s="262"/>
      <c r="BE204" s="262"/>
      <c r="BF204" s="262"/>
      <c r="BG204" s="262"/>
      <c r="BH204" s="262"/>
      <c r="BI204" s="262"/>
      <c r="BJ204" s="262"/>
      <c r="BK204" s="262"/>
      <c r="BL204" s="262"/>
      <c r="BM204" s="262"/>
      <c r="BN204" s="262"/>
      <c r="BO204" s="262"/>
      <c r="BP204" s="262"/>
      <c r="BQ204" s="262"/>
      <c r="BR204" s="262"/>
      <c r="BS204" s="262"/>
      <c r="BT204" s="262"/>
      <c r="BU204" s="262"/>
      <c r="BV204" s="262"/>
      <c r="BW204" s="262"/>
      <c r="BX204" s="262"/>
      <c r="BY204" s="262"/>
      <c r="BZ204" s="262"/>
      <c r="CA204" s="262"/>
      <c r="CB204" s="262"/>
      <c r="CC204" s="262"/>
      <c r="CD204" s="262"/>
      <c r="CE204" s="262"/>
      <c r="CF204" s="262"/>
      <c r="CG204" s="262"/>
      <c r="CH204" s="262"/>
      <c r="CI204" s="262"/>
      <c r="CJ204" s="262"/>
      <c r="CK204" s="262"/>
      <c r="CL204" s="262"/>
      <c r="CM204" s="262"/>
      <c r="CN204" s="262"/>
      <c r="CO204" s="262"/>
      <c r="CP204" s="262"/>
      <c r="CQ204" s="262"/>
      <c r="CR204" s="262"/>
      <c r="CS204" s="262"/>
      <c r="CT204" s="262"/>
      <c r="CU204" s="262"/>
      <c r="CV204" s="262"/>
      <c r="CW204" s="262"/>
      <c r="CX204" s="262"/>
      <c r="CY204" s="262"/>
      <c r="CZ204" s="262"/>
      <c r="DA204" s="262"/>
      <c r="DB204" s="262"/>
      <c r="DC204" s="262"/>
      <c r="DD204" s="262"/>
      <c r="DE204" s="262"/>
      <c r="DF204" s="262"/>
      <c r="DG204" s="262"/>
      <c r="DH204" s="262"/>
      <c r="DI204" s="262"/>
      <c r="DJ204" s="262"/>
      <c r="DK204" s="262"/>
      <c r="DL204" s="262"/>
      <c r="DM204" s="262"/>
      <c r="DN204" s="262"/>
      <c r="DO204" s="262"/>
      <c r="DP204" s="262"/>
      <c r="DQ204" s="262"/>
      <c r="DR204" s="262"/>
      <c r="DS204" s="262"/>
      <c r="DT204" s="262"/>
      <c r="DU204" s="262"/>
      <c r="DV204" s="262"/>
      <c r="DW204" s="262"/>
      <c r="DX204" s="262"/>
      <c r="DY204" s="262"/>
      <c r="DZ204" s="262"/>
      <c r="EA204" s="262"/>
      <c r="EB204" s="262"/>
      <c r="EC204" s="262"/>
      <c r="ED204" s="262"/>
      <c r="EE204" s="262"/>
      <c r="EF204" s="262"/>
      <c r="EG204" s="262"/>
      <c r="EH204" s="262"/>
      <c r="EI204" s="262"/>
      <c r="EJ204" s="262"/>
      <c r="EK204" s="262"/>
      <c r="EL204" s="262"/>
      <c r="EM204" s="262"/>
      <c r="EN204" s="262"/>
      <c r="EO204" s="262"/>
      <c r="EP204" s="262"/>
      <c r="EQ204" s="262"/>
      <c r="ER204" s="262"/>
      <c r="ES204" s="262"/>
      <c r="ET204" s="262"/>
      <c r="EU204" s="262"/>
      <c r="EV204" s="262"/>
      <c r="EW204" s="262"/>
      <c r="EX204" s="262"/>
      <c r="EY204" s="262"/>
      <c r="EZ204" s="262"/>
      <c r="FA204" s="262"/>
      <c r="FB204" s="262"/>
      <c r="FC204" s="262"/>
      <c r="FD204" s="262"/>
      <c r="FE204" s="262"/>
      <c r="FF204" s="262"/>
      <c r="FG204" s="262"/>
      <c r="FH204" s="262"/>
      <c r="FI204" s="262"/>
      <c r="FJ204" s="262"/>
      <c r="FK204" s="262"/>
      <c r="FL204" s="262"/>
      <c r="FM204" s="262"/>
      <c r="FN204" s="262"/>
      <c r="FO204" s="262"/>
      <c r="FP204" s="262"/>
      <c r="FQ204" s="262"/>
      <c r="FR204" s="262"/>
      <c r="FS204" s="262"/>
      <c r="FT204" s="262"/>
      <c r="FU204" s="262"/>
      <c r="FV204" s="262"/>
      <c r="FW204" s="262"/>
      <c r="FX204" s="262"/>
      <c r="FY204" s="262"/>
      <c r="FZ204" s="262"/>
      <c r="GA204" s="262"/>
      <c r="GB204" s="262"/>
      <c r="GC204" s="262"/>
      <c r="GD204" s="262"/>
      <c r="GE204" s="262"/>
      <c r="GF204" s="262"/>
      <c r="GG204" s="262"/>
      <c r="GH204" s="262"/>
      <c r="GI204" s="262"/>
      <c r="GJ204" s="262"/>
      <c r="GK204" s="262"/>
      <c r="GL204" s="262"/>
      <c r="GM204" s="262"/>
      <c r="GN204" s="262"/>
      <c r="GO204" s="262"/>
      <c r="GP204" s="262"/>
      <c r="GQ204" s="262"/>
      <c r="GR204" s="262"/>
      <c r="GS204" s="262"/>
      <c r="GT204" s="262"/>
      <c r="GU204" s="262"/>
      <c r="GV204" s="262"/>
      <c r="GW204" s="262"/>
      <c r="GX204" s="262"/>
      <c r="GY204" s="262"/>
      <c r="GZ204" s="262"/>
      <c r="HA204" s="262"/>
      <c r="HB204" s="262"/>
      <c r="HC204" s="262"/>
      <c r="HD204" s="262"/>
      <c r="HE204" s="262"/>
      <c r="HF204" s="262"/>
      <c r="HG204" s="262"/>
      <c r="HH204" s="262"/>
      <c r="HI204" s="262"/>
      <c r="HJ204" s="262"/>
      <c r="HK204" s="262"/>
      <c r="HL204" s="262"/>
      <c r="HM204" s="262"/>
      <c r="HN204" s="262"/>
      <c r="HO204" s="262"/>
      <c r="HP204" s="265"/>
      <c r="HQ204" s="265"/>
      <c r="HR204" s="265"/>
      <c r="HS204" s="265"/>
      <c r="HT204" s="265"/>
      <c r="HU204" s="265"/>
      <c r="HV204" s="265"/>
      <c r="HW204" s="265"/>
      <c r="HX204" s="265"/>
      <c r="HY204" s="265"/>
      <c r="HZ204" s="265"/>
      <c r="IA204" s="265"/>
      <c r="IB204" s="265"/>
      <c r="IC204" s="265"/>
      <c r="ID204" s="265"/>
      <c r="IE204" s="265"/>
      <c r="IF204" s="265"/>
      <c r="IG204" s="265"/>
      <c r="IH204" s="265"/>
      <c r="II204" s="265"/>
      <c r="IJ204" s="265"/>
      <c r="IK204" s="265"/>
      <c r="IL204" s="265"/>
      <c r="IM204" s="265"/>
      <c r="IN204" s="265"/>
      <c r="IO204" s="265"/>
      <c r="IP204" s="265"/>
      <c r="IQ204" s="265"/>
      <c r="IR204" s="265"/>
    </row>
    <row r="205" spans="1:27" s="207" customFormat="1" ht="24" customHeight="1">
      <c r="A205" s="234" t="s">
        <v>469</v>
      </c>
      <c r="B205" s="235"/>
      <c r="C205" s="235"/>
      <c r="D205" s="235"/>
      <c r="E205" s="235"/>
      <c r="F205" s="235"/>
      <c r="G205" s="235"/>
      <c r="H205" s="231" t="e">
        <f t="shared" si="62"/>
        <v>#DIV/0!</v>
      </c>
      <c r="I205" s="255"/>
      <c r="J205" s="272"/>
      <c r="O205" s="251"/>
      <c r="P205" s="252"/>
      <c r="AA205" s="254">
        <f t="shared" si="63"/>
        <v>0</v>
      </c>
    </row>
    <row r="206" spans="1:27" s="207" customFormat="1" ht="24" customHeight="1">
      <c r="A206" s="234" t="s">
        <v>470</v>
      </c>
      <c r="B206" s="235"/>
      <c r="C206" s="235"/>
      <c r="D206" s="235"/>
      <c r="E206" s="235"/>
      <c r="F206" s="235"/>
      <c r="G206" s="235"/>
      <c r="H206" s="231" t="e">
        <f t="shared" si="62"/>
        <v>#DIV/0!</v>
      </c>
      <c r="I206" s="255"/>
      <c r="J206" s="272"/>
      <c r="O206" s="251"/>
      <c r="P206" s="234"/>
      <c r="AA206" s="254">
        <f t="shared" si="63"/>
        <v>0</v>
      </c>
    </row>
    <row r="207" spans="1:27" s="207" customFormat="1" ht="24" customHeight="1">
      <c r="A207" s="234" t="s">
        <v>471</v>
      </c>
      <c r="B207" s="235">
        <f aca="true" t="shared" si="66" ref="B207:G207">SUM(B208:B212)</f>
        <v>287</v>
      </c>
      <c r="C207" s="235">
        <f t="shared" si="66"/>
        <v>287</v>
      </c>
      <c r="D207" s="235">
        <f t="shared" si="66"/>
        <v>128</v>
      </c>
      <c r="E207" s="235">
        <f t="shared" si="66"/>
        <v>258</v>
      </c>
      <c r="F207" s="235">
        <f t="shared" si="66"/>
        <v>258</v>
      </c>
      <c r="G207" s="235">
        <f t="shared" si="66"/>
        <v>132</v>
      </c>
      <c r="H207" s="231">
        <f t="shared" si="62"/>
        <v>0.8989547038327527</v>
      </c>
      <c r="I207" s="255"/>
      <c r="J207" s="272"/>
      <c r="O207" s="251"/>
      <c r="P207" s="234"/>
      <c r="Q207" s="268"/>
      <c r="R207" s="268"/>
      <c r="AA207" s="254">
        <f t="shared" si="63"/>
        <v>0</v>
      </c>
    </row>
    <row r="208" spans="1:27" s="207" customFormat="1" ht="24" customHeight="1">
      <c r="A208" s="234" t="s">
        <v>472</v>
      </c>
      <c r="B208" s="235">
        <v>132</v>
      </c>
      <c r="C208" s="235">
        <v>132</v>
      </c>
      <c r="D208" s="235"/>
      <c r="E208" s="235">
        <v>122</v>
      </c>
      <c r="F208" s="235">
        <f>113+9</f>
        <v>122</v>
      </c>
      <c r="G208" s="235"/>
      <c r="H208" s="231">
        <f t="shared" si="62"/>
        <v>0.9242424242424242</v>
      </c>
      <c r="I208" s="255"/>
      <c r="J208" s="272"/>
      <c r="O208" s="251"/>
      <c r="P208" s="252"/>
      <c r="AA208" s="254">
        <f t="shared" si="63"/>
        <v>0</v>
      </c>
    </row>
    <row r="209" spans="1:27" s="207" customFormat="1" ht="24" customHeight="1">
      <c r="A209" s="234" t="s">
        <v>473</v>
      </c>
      <c r="B209" s="235"/>
      <c r="C209" s="235"/>
      <c r="D209" s="235">
        <v>5</v>
      </c>
      <c r="E209" s="235"/>
      <c r="F209" s="235"/>
      <c r="G209" s="235"/>
      <c r="H209" s="231" t="e">
        <f t="shared" si="62"/>
        <v>#DIV/0!</v>
      </c>
      <c r="I209" s="255"/>
      <c r="O209" s="251"/>
      <c r="P209" s="252"/>
      <c r="AA209" s="254">
        <f t="shared" si="63"/>
        <v>0</v>
      </c>
    </row>
    <row r="210" spans="1:27" s="207" customFormat="1" ht="24" customHeight="1">
      <c r="A210" s="234" t="s">
        <v>474</v>
      </c>
      <c r="B210" s="235"/>
      <c r="C210" s="235"/>
      <c r="D210" s="235">
        <v>11</v>
      </c>
      <c r="E210" s="235"/>
      <c r="F210" s="235"/>
      <c r="G210" s="235">
        <v>6</v>
      </c>
      <c r="H210" s="231" t="e">
        <f t="shared" si="62"/>
        <v>#DIV/0!</v>
      </c>
      <c r="I210" s="255"/>
      <c r="O210" s="251"/>
      <c r="P210" s="252"/>
      <c r="AA210" s="254">
        <f t="shared" si="63"/>
        <v>0</v>
      </c>
    </row>
    <row r="211" spans="1:27" s="207" customFormat="1" ht="24" customHeight="1">
      <c r="A211" s="234" t="s">
        <v>475</v>
      </c>
      <c r="B211" s="235">
        <v>155</v>
      </c>
      <c r="C211" s="235">
        <f>69+86</f>
        <v>155</v>
      </c>
      <c r="D211" s="235">
        <v>51</v>
      </c>
      <c r="E211" s="235">
        <v>136</v>
      </c>
      <c r="F211" s="235">
        <f>78+58</f>
        <v>136</v>
      </c>
      <c r="G211" s="235">
        <v>126</v>
      </c>
      <c r="H211" s="231">
        <f t="shared" si="62"/>
        <v>0.8774193548387097</v>
      </c>
      <c r="I211" s="255"/>
      <c r="O211" s="251"/>
      <c r="P211" s="252"/>
      <c r="AA211" s="254"/>
    </row>
    <row r="212" spans="1:27" s="207" customFormat="1" ht="24" customHeight="1">
      <c r="A212" s="234" t="s">
        <v>476</v>
      </c>
      <c r="B212" s="235"/>
      <c r="C212" s="235"/>
      <c r="D212" s="235">
        <v>61</v>
      </c>
      <c r="E212" s="235"/>
      <c r="F212" s="235"/>
      <c r="G212" s="235"/>
      <c r="H212" s="231" t="e">
        <f t="shared" si="62"/>
        <v>#DIV/0!</v>
      </c>
      <c r="I212" s="255"/>
      <c r="O212" s="251"/>
      <c r="P212" s="252"/>
      <c r="AA212" s="254">
        <f aca="true" t="shared" si="67" ref="AA212:AA219">F212-E212</f>
        <v>0</v>
      </c>
    </row>
    <row r="213" spans="1:27" s="207" customFormat="1" ht="24" customHeight="1">
      <c r="A213" s="234" t="s">
        <v>477</v>
      </c>
      <c r="B213" s="235">
        <f aca="true" t="shared" si="68" ref="B213:G213">SUM(B214)</f>
        <v>44</v>
      </c>
      <c r="C213" s="235">
        <f t="shared" si="68"/>
        <v>44</v>
      </c>
      <c r="D213" s="235">
        <f t="shared" si="68"/>
        <v>0</v>
      </c>
      <c r="E213" s="235">
        <f t="shared" si="68"/>
        <v>0</v>
      </c>
      <c r="F213" s="235">
        <f t="shared" si="68"/>
        <v>0</v>
      </c>
      <c r="G213" s="235">
        <f t="shared" si="68"/>
        <v>0</v>
      </c>
      <c r="H213" s="231">
        <f t="shared" si="62"/>
        <v>0</v>
      </c>
      <c r="I213" s="249"/>
      <c r="J213" s="250"/>
      <c r="O213" s="251"/>
      <c r="P213" s="252"/>
      <c r="AA213" s="254">
        <f t="shared" si="67"/>
        <v>0</v>
      </c>
    </row>
    <row r="214" spans="1:27" s="207" customFormat="1" ht="24" customHeight="1">
      <c r="A214" s="234" t="s">
        <v>478</v>
      </c>
      <c r="B214" s="235">
        <v>44</v>
      </c>
      <c r="C214" s="235">
        <v>44</v>
      </c>
      <c r="D214" s="235"/>
      <c r="E214" s="235"/>
      <c r="F214" s="235"/>
      <c r="G214" s="235"/>
      <c r="H214" s="231">
        <f t="shared" si="62"/>
        <v>0</v>
      </c>
      <c r="I214" s="255"/>
      <c r="O214" s="251"/>
      <c r="P214" s="252"/>
      <c r="AA214" s="254">
        <f t="shared" si="67"/>
        <v>0</v>
      </c>
    </row>
    <row r="215" spans="1:27" s="207" customFormat="1" ht="24" customHeight="1">
      <c r="A215" s="234" t="s">
        <v>479</v>
      </c>
      <c r="B215" s="235">
        <f aca="true" t="shared" si="69" ref="B215:G215">SUM(B216)</f>
        <v>29</v>
      </c>
      <c r="C215" s="235">
        <f t="shared" si="69"/>
        <v>29</v>
      </c>
      <c r="D215" s="235">
        <f t="shared" si="69"/>
        <v>0</v>
      </c>
      <c r="E215" s="235">
        <f t="shared" si="69"/>
        <v>29</v>
      </c>
      <c r="F215" s="235">
        <f t="shared" si="69"/>
        <v>29</v>
      </c>
      <c r="G215" s="235">
        <f t="shared" si="69"/>
        <v>0</v>
      </c>
      <c r="H215" s="231">
        <f t="shared" si="62"/>
        <v>1</v>
      </c>
      <c r="I215" s="249"/>
      <c r="J215" s="250"/>
      <c r="O215" s="251"/>
      <c r="P215" s="234"/>
      <c r="AA215" s="254">
        <f t="shared" si="67"/>
        <v>0</v>
      </c>
    </row>
    <row r="216" spans="1:27" s="207" customFormat="1" ht="24" customHeight="1">
      <c r="A216" s="234" t="s">
        <v>480</v>
      </c>
      <c r="B216" s="235">
        <v>29</v>
      </c>
      <c r="C216" s="235">
        <f>27+2</f>
        <v>29</v>
      </c>
      <c r="D216" s="235"/>
      <c r="E216" s="235">
        <v>29</v>
      </c>
      <c r="F216" s="235">
        <f>29</f>
        <v>29</v>
      </c>
      <c r="G216" s="235"/>
      <c r="H216" s="231">
        <f t="shared" si="62"/>
        <v>1</v>
      </c>
      <c r="I216" s="255"/>
      <c r="O216" s="251"/>
      <c r="P216" s="252"/>
      <c r="AA216" s="254">
        <f t="shared" si="67"/>
        <v>0</v>
      </c>
    </row>
    <row r="217" spans="1:27" s="207" customFormat="1" ht="24" customHeight="1">
      <c r="A217" s="234" t="s">
        <v>481</v>
      </c>
      <c r="B217" s="235">
        <f aca="true" t="shared" si="70" ref="B217:G217">SUM(B218)</f>
        <v>300</v>
      </c>
      <c r="C217" s="235">
        <f t="shared" si="70"/>
        <v>300</v>
      </c>
      <c r="D217" s="235">
        <f t="shared" si="70"/>
        <v>0</v>
      </c>
      <c r="E217" s="235">
        <f t="shared" si="70"/>
        <v>300</v>
      </c>
      <c r="F217" s="235">
        <f t="shared" si="70"/>
        <v>300</v>
      </c>
      <c r="G217" s="235">
        <f t="shared" si="70"/>
        <v>0</v>
      </c>
      <c r="H217" s="231">
        <f t="shared" si="62"/>
        <v>1</v>
      </c>
      <c r="I217" s="255"/>
      <c r="O217" s="251"/>
      <c r="P217" s="252"/>
      <c r="AA217" s="254">
        <f t="shared" si="67"/>
        <v>0</v>
      </c>
    </row>
    <row r="218" spans="1:252" s="207" customFormat="1" ht="29.25" customHeight="1">
      <c r="A218" s="234" t="s">
        <v>482</v>
      </c>
      <c r="B218" s="235">
        <v>300</v>
      </c>
      <c r="C218" s="235">
        <v>300</v>
      </c>
      <c r="D218" s="235"/>
      <c r="E218" s="235">
        <v>300</v>
      </c>
      <c r="F218" s="235">
        <v>300</v>
      </c>
      <c r="G218" s="235"/>
      <c r="H218" s="231">
        <f t="shared" si="62"/>
        <v>1</v>
      </c>
      <c r="I218" s="255" t="s">
        <v>483</v>
      </c>
      <c r="J218" s="254"/>
      <c r="K218" s="254"/>
      <c r="L218" s="254"/>
      <c r="M218" s="254"/>
      <c r="N218" s="254"/>
      <c r="O218" s="251"/>
      <c r="P218" s="252"/>
      <c r="X218" s="262"/>
      <c r="Y218" s="262"/>
      <c r="Z218" s="262"/>
      <c r="AA218" s="254">
        <f t="shared" si="67"/>
        <v>0</v>
      </c>
      <c r="AB218" s="262"/>
      <c r="AC218" s="262"/>
      <c r="AD218" s="262"/>
      <c r="AE218" s="262"/>
      <c r="AF218" s="262"/>
      <c r="AG218" s="262"/>
      <c r="AH218" s="262"/>
      <c r="AI218" s="262"/>
      <c r="AJ218" s="262"/>
      <c r="AK218" s="262"/>
      <c r="AL218" s="262"/>
      <c r="AM218" s="262"/>
      <c r="AN218" s="262"/>
      <c r="AO218" s="262"/>
      <c r="AP218" s="262"/>
      <c r="AQ218" s="262"/>
      <c r="AR218" s="262"/>
      <c r="AS218" s="262"/>
      <c r="AT218" s="262"/>
      <c r="AU218" s="262"/>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262"/>
      <c r="CP218" s="262"/>
      <c r="CQ218" s="262"/>
      <c r="CR218" s="262"/>
      <c r="CS218" s="262"/>
      <c r="CT218" s="262"/>
      <c r="CU218" s="262"/>
      <c r="CV218" s="262"/>
      <c r="CW218" s="262"/>
      <c r="CX218" s="262"/>
      <c r="CY218" s="262"/>
      <c r="CZ218" s="262"/>
      <c r="DA218" s="262"/>
      <c r="DB218" s="262"/>
      <c r="DC218" s="262"/>
      <c r="DD218" s="262"/>
      <c r="DE218" s="262"/>
      <c r="DF218" s="262"/>
      <c r="DG218" s="262"/>
      <c r="DH218" s="262"/>
      <c r="DI218" s="262"/>
      <c r="DJ218" s="262"/>
      <c r="DK218" s="262"/>
      <c r="DL218" s="262"/>
      <c r="DM218" s="262"/>
      <c r="DN218" s="262"/>
      <c r="DO218" s="262"/>
      <c r="DP218" s="262"/>
      <c r="DQ218" s="262"/>
      <c r="DR218" s="262"/>
      <c r="DS218" s="262"/>
      <c r="DT218" s="262"/>
      <c r="DU218" s="262"/>
      <c r="DV218" s="262"/>
      <c r="DW218" s="262"/>
      <c r="DX218" s="262"/>
      <c r="DY218" s="262"/>
      <c r="DZ218" s="262"/>
      <c r="EA218" s="262"/>
      <c r="EB218" s="262"/>
      <c r="EC218" s="262"/>
      <c r="ED218" s="262"/>
      <c r="EE218" s="262"/>
      <c r="EF218" s="262"/>
      <c r="EG218" s="262"/>
      <c r="EH218" s="262"/>
      <c r="EI218" s="262"/>
      <c r="EJ218" s="262"/>
      <c r="EK218" s="262"/>
      <c r="EL218" s="262"/>
      <c r="EM218" s="262"/>
      <c r="EN218" s="262"/>
      <c r="EO218" s="262"/>
      <c r="EP218" s="262"/>
      <c r="EQ218" s="262"/>
      <c r="ER218" s="262"/>
      <c r="ES218" s="262"/>
      <c r="ET218" s="262"/>
      <c r="EU218" s="262"/>
      <c r="EV218" s="262"/>
      <c r="EW218" s="262"/>
      <c r="EX218" s="262"/>
      <c r="EY218" s="262"/>
      <c r="EZ218" s="262"/>
      <c r="FA218" s="262"/>
      <c r="FB218" s="262"/>
      <c r="FC218" s="262"/>
      <c r="FD218" s="262"/>
      <c r="FE218" s="262"/>
      <c r="FF218" s="262"/>
      <c r="FG218" s="262"/>
      <c r="FH218" s="262"/>
      <c r="FI218" s="262"/>
      <c r="FJ218" s="262"/>
      <c r="FK218" s="262"/>
      <c r="FL218" s="262"/>
      <c r="FM218" s="262"/>
      <c r="FN218" s="262"/>
      <c r="FO218" s="262"/>
      <c r="FP218" s="262"/>
      <c r="FQ218" s="262"/>
      <c r="FR218" s="262"/>
      <c r="FS218" s="262"/>
      <c r="FT218" s="262"/>
      <c r="FU218" s="262"/>
      <c r="FV218" s="262"/>
      <c r="FW218" s="262"/>
      <c r="FX218" s="262"/>
      <c r="FY218" s="262"/>
      <c r="FZ218" s="262"/>
      <c r="GA218" s="262"/>
      <c r="GB218" s="262"/>
      <c r="GC218" s="262"/>
      <c r="GD218" s="262"/>
      <c r="GE218" s="262"/>
      <c r="GF218" s="262"/>
      <c r="GG218" s="262"/>
      <c r="GH218" s="262"/>
      <c r="GI218" s="262"/>
      <c r="GJ218" s="262"/>
      <c r="GK218" s="262"/>
      <c r="GL218" s="262"/>
      <c r="GM218" s="262"/>
      <c r="GN218" s="262"/>
      <c r="GO218" s="262"/>
      <c r="GP218" s="262"/>
      <c r="GQ218" s="262"/>
      <c r="GR218" s="262"/>
      <c r="GS218" s="262"/>
      <c r="GT218" s="262"/>
      <c r="GU218" s="262"/>
      <c r="GV218" s="262"/>
      <c r="GW218" s="262"/>
      <c r="GX218" s="262"/>
      <c r="GY218" s="262"/>
      <c r="GZ218" s="262"/>
      <c r="HA218" s="262"/>
      <c r="HB218" s="262"/>
      <c r="HC218" s="262"/>
      <c r="HD218" s="262"/>
      <c r="HE218" s="262"/>
      <c r="HF218" s="262"/>
      <c r="HG218" s="262"/>
      <c r="HH218" s="262"/>
      <c r="HI218" s="262"/>
      <c r="HJ218" s="262"/>
      <c r="HK218" s="262"/>
      <c r="HL218" s="262"/>
      <c r="HM218" s="262"/>
      <c r="HN218" s="262"/>
      <c r="HO218" s="262"/>
      <c r="HP218" s="265"/>
      <c r="HQ218" s="265"/>
      <c r="HR218" s="265"/>
      <c r="HS218" s="265"/>
      <c r="HT218" s="265"/>
      <c r="HU218" s="265"/>
      <c r="HV218" s="265"/>
      <c r="HW218" s="265"/>
      <c r="HX218" s="265"/>
      <c r="HY218" s="265"/>
      <c r="HZ218" s="265"/>
      <c r="IA218" s="265"/>
      <c r="IB218" s="265"/>
      <c r="IC218" s="265"/>
      <c r="ID218" s="265"/>
      <c r="IE218" s="265"/>
      <c r="IF218" s="265"/>
      <c r="IG218" s="265"/>
      <c r="IH218" s="265"/>
      <c r="II218" s="265"/>
      <c r="IJ218" s="265"/>
      <c r="IK218" s="265"/>
      <c r="IL218" s="265"/>
      <c r="IM218" s="265"/>
      <c r="IN218" s="265"/>
      <c r="IO218" s="265"/>
      <c r="IP218" s="265"/>
      <c r="IQ218" s="265"/>
      <c r="IR218" s="265"/>
    </row>
    <row r="219" spans="1:27" s="207" customFormat="1" ht="24" customHeight="1">
      <c r="A219" s="234" t="s">
        <v>484</v>
      </c>
      <c r="B219" s="235">
        <f aca="true" t="shared" si="71" ref="B219:G219">SUM(B220:B221)</f>
        <v>15</v>
      </c>
      <c r="C219" s="235">
        <f t="shared" si="71"/>
        <v>15</v>
      </c>
      <c r="D219" s="235">
        <f t="shared" si="71"/>
        <v>0</v>
      </c>
      <c r="E219" s="235">
        <f t="shared" si="71"/>
        <v>15</v>
      </c>
      <c r="F219" s="235">
        <f t="shared" si="71"/>
        <v>15</v>
      </c>
      <c r="G219" s="235">
        <f t="shared" si="71"/>
        <v>0</v>
      </c>
      <c r="H219" s="231">
        <f t="shared" si="62"/>
        <v>1</v>
      </c>
      <c r="I219" s="249"/>
      <c r="J219" s="250"/>
      <c r="O219" s="251"/>
      <c r="P219" s="234"/>
      <c r="AA219" s="254">
        <f t="shared" si="67"/>
        <v>0</v>
      </c>
    </row>
    <row r="220" spans="1:27" s="207" customFormat="1" ht="24" customHeight="1">
      <c r="A220" s="234" t="s">
        <v>485</v>
      </c>
      <c r="B220" s="235"/>
      <c r="C220" s="235"/>
      <c r="D220" s="235"/>
      <c r="E220" s="235"/>
      <c r="F220" s="235"/>
      <c r="G220" s="235"/>
      <c r="H220" s="231" t="e">
        <f t="shared" si="62"/>
        <v>#DIV/0!</v>
      </c>
      <c r="I220" s="249"/>
      <c r="J220" s="250"/>
      <c r="O220" s="251"/>
      <c r="P220" s="273"/>
      <c r="AA220" s="254"/>
    </row>
    <row r="221" spans="1:27" s="207" customFormat="1" ht="24" customHeight="1">
      <c r="A221" s="234" t="s">
        <v>486</v>
      </c>
      <c r="B221" s="235">
        <v>15</v>
      </c>
      <c r="C221" s="235">
        <v>15</v>
      </c>
      <c r="D221" s="235"/>
      <c r="E221" s="235">
        <v>15</v>
      </c>
      <c r="F221" s="235">
        <v>15</v>
      </c>
      <c r="G221" s="235"/>
      <c r="H221" s="231">
        <f t="shared" si="62"/>
        <v>1</v>
      </c>
      <c r="I221" s="255"/>
      <c r="O221" s="251"/>
      <c r="P221" s="252"/>
      <c r="AA221" s="254">
        <f aca="true" t="shared" si="72" ref="AA221:AA239">F221-E221</f>
        <v>0</v>
      </c>
    </row>
    <row r="222" spans="1:27" s="207" customFormat="1" ht="24" customHeight="1">
      <c r="A222" s="234" t="s">
        <v>487</v>
      </c>
      <c r="B222" s="235">
        <f aca="true" t="shared" si="73" ref="B222:G222">SUM(B223)</f>
        <v>330</v>
      </c>
      <c r="C222" s="235">
        <f t="shared" si="73"/>
        <v>330</v>
      </c>
      <c r="D222" s="235">
        <f t="shared" si="73"/>
        <v>0</v>
      </c>
      <c r="E222" s="235">
        <f t="shared" si="73"/>
        <v>612</v>
      </c>
      <c r="F222" s="235">
        <f t="shared" si="73"/>
        <v>612</v>
      </c>
      <c r="G222" s="235">
        <f t="shared" si="73"/>
        <v>0</v>
      </c>
      <c r="H222" s="231">
        <f t="shared" si="62"/>
        <v>1.8545454545454545</v>
      </c>
      <c r="I222" s="249"/>
      <c r="J222" s="250"/>
      <c r="O222" s="251"/>
      <c r="P222" s="252"/>
      <c r="AA222" s="254">
        <f t="shared" si="72"/>
        <v>0</v>
      </c>
    </row>
    <row r="223" spans="1:27" s="207" customFormat="1" ht="24" customHeight="1">
      <c r="A223" s="234" t="s">
        <v>488</v>
      </c>
      <c r="B223" s="235">
        <v>330</v>
      </c>
      <c r="C223" s="235">
        <f>269+61</f>
        <v>330</v>
      </c>
      <c r="D223" s="235"/>
      <c r="E223" s="235">
        <v>612</v>
      </c>
      <c r="F223" s="235">
        <v>612</v>
      </c>
      <c r="G223" s="235"/>
      <c r="H223" s="231">
        <f t="shared" si="62"/>
        <v>1.8545454545454545</v>
      </c>
      <c r="I223" s="255"/>
      <c r="O223" s="251"/>
      <c r="P223" s="252"/>
      <c r="AA223" s="254">
        <f t="shared" si="72"/>
        <v>0</v>
      </c>
    </row>
    <row r="224" spans="1:27" s="207" customFormat="1" ht="27" customHeight="1">
      <c r="A224" s="234" t="s">
        <v>489</v>
      </c>
      <c r="B224" s="235">
        <f aca="true" t="shared" si="74" ref="B224:G224">SUM(B225:B226)</f>
        <v>2833</v>
      </c>
      <c r="C224" s="235">
        <f t="shared" si="74"/>
        <v>2833</v>
      </c>
      <c r="D224" s="235">
        <f t="shared" si="74"/>
        <v>0</v>
      </c>
      <c r="E224" s="235">
        <f t="shared" si="74"/>
        <v>2545</v>
      </c>
      <c r="F224" s="235">
        <f t="shared" si="74"/>
        <v>2545</v>
      </c>
      <c r="G224" s="235">
        <f t="shared" si="74"/>
        <v>70</v>
      </c>
      <c r="H224" s="231">
        <f t="shared" si="62"/>
        <v>0.8983409812919168</v>
      </c>
      <c r="I224" s="255"/>
      <c r="O224" s="251"/>
      <c r="P224" s="252"/>
      <c r="AA224" s="254">
        <f t="shared" si="72"/>
        <v>0</v>
      </c>
    </row>
    <row r="225" spans="1:252" s="207" customFormat="1" ht="27" customHeight="1">
      <c r="A225" s="234" t="s">
        <v>490</v>
      </c>
      <c r="B225" s="235">
        <v>833</v>
      </c>
      <c r="C225" s="235">
        <f>813+20</f>
        <v>833</v>
      </c>
      <c r="D225" s="235"/>
      <c r="E225" s="235">
        <v>918</v>
      </c>
      <c r="F225" s="235">
        <f>898+20</f>
        <v>918</v>
      </c>
      <c r="G225" s="235">
        <v>70</v>
      </c>
      <c r="H225" s="231">
        <f t="shared" si="62"/>
        <v>1.1020408163265305</v>
      </c>
      <c r="I225" s="255"/>
      <c r="J225" s="254"/>
      <c r="K225" s="254"/>
      <c r="L225" s="254"/>
      <c r="M225" s="254"/>
      <c r="N225" s="254"/>
      <c r="O225" s="251"/>
      <c r="P225" s="252"/>
      <c r="X225" s="262"/>
      <c r="Y225" s="262"/>
      <c r="Z225" s="262"/>
      <c r="AA225" s="254">
        <f t="shared" si="72"/>
        <v>0</v>
      </c>
      <c r="AB225" s="262"/>
      <c r="AC225" s="262"/>
      <c r="AD225" s="262"/>
      <c r="AE225" s="262"/>
      <c r="AF225" s="262"/>
      <c r="AG225" s="262"/>
      <c r="AH225" s="262"/>
      <c r="AI225" s="262"/>
      <c r="AJ225" s="262"/>
      <c r="AK225" s="262"/>
      <c r="AL225" s="262"/>
      <c r="AM225" s="262"/>
      <c r="AN225" s="262"/>
      <c r="AO225" s="262"/>
      <c r="AP225" s="262"/>
      <c r="AQ225" s="262"/>
      <c r="AR225" s="262"/>
      <c r="AS225" s="262"/>
      <c r="AT225" s="262"/>
      <c r="AU225" s="262"/>
      <c r="AV225" s="262"/>
      <c r="AW225" s="262"/>
      <c r="AX225" s="262"/>
      <c r="AY225" s="262"/>
      <c r="AZ225" s="262"/>
      <c r="BA225" s="262"/>
      <c r="BB225" s="262"/>
      <c r="BC225" s="262"/>
      <c r="BD225" s="262"/>
      <c r="BE225" s="262"/>
      <c r="BF225" s="262"/>
      <c r="BG225" s="262"/>
      <c r="BH225" s="262"/>
      <c r="BI225" s="262"/>
      <c r="BJ225" s="262"/>
      <c r="BK225" s="262"/>
      <c r="BL225" s="262"/>
      <c r="BM225" s="262"/>
      <c r="BN225" s="262"/>
      <c r="BO225" s="262"/>
      <c r="BP225" s="262"/>
      <c r="BQ225" s="262"/>
      <c r="BR225" s="262"/>
      <c r="BS225" s="262"/>
      <c r="BT225" s="262"/>
      <c r="BU225" s="262"/>
      <c r="BV225" s="262"/>
      <c r="BW225" s="262"/>
      <c r="BX225" s="262"/>
      <c r="BY225" s="262"/>
      <c r="BZ225" s="262"/>
      <c r="CA225" s="262"/>
      <c r="CB225" s="262"/>
      <c r="CC225" s="262"/>
      <c r="CD225" s="262"/>
      <c r="CE225" s="262"/>
      <c r="CF225" s="262"/>
      <c r="CG225" s="262"/>
      <c r="CH225" s="262"/>
      <c r="CI225" s="262"/>
      <c r="CJ225" s="262"/>
      <c r="CK225" s="262"/>
      <c r="CL225" s="262"/>
      <c r="CM225" s="262"/>
      <c r="CN225" s="262"/>
      <c r="CO225" s="262"/>
      <c r="CP225" s="262"/>
      <c r="CQ225" s="262"/>
      <c r="CR225" s="262"/>
      <c r="CS225" s="262"/>
      <c r="CT225" s="262"/>
      <c r="CU225" s="262"/>
      <c r="CV225" s="262"/>
      <c r="CW225" s="262"/>
      <c r="CX225" s="262"/>
      <c r="CY225" s="262"/>
      <c r="CZ225" s="262"/>
      <c r="DA225" s="262"/>
      <c r="DB225" s="262"/>
      <c r="DC225" s="262"/>
      <c r="DD225" s="262"/>
      <c r="DE225" s="262"/>
      <c r="DF225" s="262"/>
      <c r="DG225" s="262"/>
      <c r="DH225" s="262"/>
      <c r="DI225" s="262"/>
      <c r="DJ225" s="262"/>
      <c r="DK225" s="262"/>
      <c r="DL225" s="262"/>
      <c r="DM225" s="262"/>
      <c r="DN225" s="262"/>
      <c r="DO225" s="262"/>
      <c r="DP225" s="262"/>
      <c r="DQ225" s="262"/>
      <c r="DR225" s="262"/>
      <c r="DS225" s="262"/>
      <c r="DT225" s="262"/>
      <c r="DU225" s="262"/>
      <c r="DV225" s="262"/>
      <c r="DW225" s="262"/>
      <c r="DX225" s="262"/>
      <c r="DY225" s="262"/>
      <c r="DZ225" s="262"/>
      <c r="EA225" s="262"/>
      <c r="EB225" s="262"/>
      <c r="EC225" s="262"/>
      <c r="ED225" s="262"/>
      <c r="EE225" s="262"/>
      <c r="EF225" s="262"/>
      <c r="EG225" s="262"/>
      <c r="EH225" s="262"/>
      <c r="EI225" s="262"/>
      <c r="EJ225" s="262"/>
      <c r="EK225" s="262"/>
      <c r="EL225" s="262"/>
      <c r="EM225" s="262"/>
      <c r="EN225" s="262"/>
      <c r="EO225" s="262"/>
      <c r="EP225" s="262"/>
      <c r="EQ225" s="262"/>
      <c r="ER225" s="262"/>
      <c r="ES225" s="262"/>
      <c r="ET225" s="262"/>
      <c r="EU225" s="262"/>
      <c r="EV225" s="262"/>
      <c r="EW225" s="262"/>
      <c r="EX225" s="262"/>
      <c r="EY225" s="262"/>
      <c r="EZ225" s="262"/>
      <c r="FA225" s="262"/>
      <c r="FB225" s="262"/>
      <c r="FC225" s="262"/>
      <c r="FD225" s="262"/>
      <c r="FE225" s="262"/>
      <c r="FF225" s="262"/>
      <c r="FG225" s="262"/>
      <c r="FH225" s="262"/>
      <c r="FI225" s="262"/>
      <c r="FJ225" s="262"/>
      <c r="FK225" s="262"/>
      <c r="FL225" s="262"/>
      <c r="FM225" s="262"/>
      <c r="FN225" s="262"/>
      <c r="FO225" s="262"/>
      <c r="FP225" s="262"/>
      <c r="FQ225" s="262"/>
      <c r="FR225" s="262"/>
      <c r="FS225" s="262"/>
      <c r="FT225" s="262"/>
      <c r="FU225" s="262"/>
      <c r="FV225" s="262"/>
      <c r="FW225" s="262"/>
      <c r="FX225" s="262"/>
      <c r="FY225" s="262"/>
      <c r="FZ225" s="262"/>
      <c r="GA225" s="262"/>
      <c r="GB225" s="262"/>
      <c r="GC225" s="262"/>
      <c r="GD225" s="262"/>
      <c r="GE225" s="262"/>
      <c r="GF225" s="262"/>
      <c r="GG225" s="262"/>
      <c r="GH225" s="262"/>
      <c r="GI225" s="262"/>
      <c r="GJ225" s="262"/>
      <c r="GK225" s="262"/>
      <c r="GL225" s="262"/>
      <c r="GM225" s="262"/>
      <c r="GN225" s="262"/>
      <c r="GO225" s="262"/>
      <c r="GP225" s="262"/>
      <c r="GQ225" s="262"/>
      <c r="GR225" s="262"/>
      <c r="GS225" s="262"/>
      <c r="GT225" s="262"/>
      <c r="GU225" s="262"/>
      <c r="GV225" s="262"/>
      <c r="GW225" s="262"/>
      <c r="GX225" s="262"/>
      <c r="GY225" s="262"/>
      <c r="GZ225" s="262"/>
      <c r="HA225" s="262"/>
      <c r="HB225" s="262"/>
      <c r="HC225" s="262"/>
      <c r="HD225" s="262"/>
      <c r="HE225" s="262"/>
      <c r="HF225" s="262"/>
      <c r="HG225" s="262"/>
      <c r="HH225" s="262"/>
      <c r="HI225" s="262"/>
      <c r="HJ225" s="262"/>
      <c r="HK225" s="262"/>
      <c r="HL225" s="262"/>
      <c r="HM225" s="262"/>
      <c r="HN225" s="262"/>
      <c r="HO225" s="262"/>
      <c r="HP225" s="265"/>
      <c r="HQ225" s="265"/>
      <c r="HR225" s="265"/>
      <c r="HS225" s="265"/>
      <c r="HT225" s="265"/>
      <c r="HU225" s="265"/>
      <c r="HV225" s="265"/>
      <c r="HW225" s="265"/>
      <c r="HX225" s="265"/>
      <c r="HY225" s="265"/>
      <c r="HZ225" s="265"/>
      <c r="IA225" s="265"/>
      <c r="IB225" s="265"/>
      <c r="IC225" s="265"/>
      <c r="ID225" s="265"/>
      <c r="IE225" s="265"/>
      <c r="IF225" s="265"/>
      <c r="IG225" s="265"/>
      <c r="IH225" s="265"/>
      <c r="II225" s="265"/>
      <c r="IJ225" s="265"/>
      <c r="IK225" s="265"/>
      <c r="IL225" s="265"/>
      <c r="IM225" s="265"/>
      <c r="IN225" s="265"/>
      <c r="IO225" s="265"/>
      <c r="IP225" s="265"/>
      <c r="IQ225" s="265"/>
      <c r="IR225" s="265"/>
    </row>
    <row r="226" spans="1:27" s="207" customFormat="1" ht="30" customHeight="1">
      <c r="A226" s="234" t="s">
        <v>491</v>
      </c>
      <c r="B226" s="235">
        <v>2000</v>
      </c>
      <c r="C226" s="235">
        <f>1004+592+350+54</f>
        <v>2000</v>
      </c>
      <c r="D226" s="235"/>
      <c r="E226" s="235">
        <v>1627</v>
      </c>
      <c r="F226" s="235">
        <f>234+152+144+15+592+350+76+3+61</f>
        <v>1627</v>
      </c>
      <c r="G226" s="235"/>
      <c r="H226" s="231">
        <f t="shared" si="62"/>
        <v>0.8135</v>
      </c>
      <c r="I226" s="274" t="s">
        <v>492</v>
      </c>
      <c r="O226" s="251"/>
      <c r="P226" s="234"/>
      <c r="AA226" s="254">
        <f t="shared" si="72"/>
        <v>0</v>
      </c>
    </row>
    <row r="227" spans="1:27" s="207" customFormat="1" ht="24" customHeight="1">
      <c r="A227" s="234" t="s">
        <v>493</v>
      </c>
      <c r="B227" s="235">
        <f aca="true" t="shared" si="75" ref="B227:G227">SUM(B228)</f>
        <v>0</v>
      </c>
      <c r="C227" s="235">
        <f t="shared" si="75"/>
        <v>0</v>
      </c>
      <c r="D227" s="235">
        <f t="shared" si="75"/>
        <v>4714</v>
      </c>
      <c r="E227" s="235">
        <f t="shared" si="75"/>
        <v>0</v>
      </c>
      <c r="F227" s="235">
        <f t="shared" si="75"/>
        <v>0</v>
      </c>
      <c r="G227" s="235">
        <f t="shared" si="75"/>
        <v>0</v>
      </c>
      <c r="H227" s="231" t="e">
        <f t="shared" si="62"/>
        <v>#DIV/0!</v>
      </c>
      <c r="I227" s="249"/>
      <c r="J227" s="250"/>
      <c r="O227" s="251"/>
      <c r="P227" s="252"/>
      <c r="AA227" s="254">
        <f t="shared" si="72"/>
        <v>0</v>
      </c>
    </row>
    <row r="228" spans="1:27" s="207" customFormat="1" ht="30" customHeight="1">
      <c r="A228" s="234" t="s">
        <v>494</v>
      </c>
      <c r="B228" s="235"/>
      <c r="C228" s="235"/>
      <c r="D228" s="235">
        <v>4714</v>
      </c>
      <c r="E228" s="235"/>
      <c r="F228" s="235"/>
      <c r="G228" s="235"/>
      <c r="H228" s="231" t="e">
        <f t="shared" si="62"/>
        <v>#DIV/0!</v>
      </c>
      <c r="I228" s="255"/>
      <c r="O228" s="251"/>
      <c r="P228" s="252"/>
      <c r="AA228" s="254">
        <f t="shared" si="72"/>
        <v>0</v>
      </c>
    </row>
    <row r="229" spans="1:27" s="205" customFormat="1" ht="24" customHeight="1">
      <c r="A229" s="232" t="s">
        <v>495</v>
      </c>
      <c r="B229" s="233">
        <f aca="true" t="shared" si="76" ref="B229:G229">B230+B234+B239+B242+B248+B250+B253+B260+B265+B268+B270</f>
        <v>8279</v>
      </c>
      <c r="C229" s="233">
        <f t="shared" si="76"/>
        <v>8279</v>
      </c>
      <c r="D229" s="233">
        <f t="shared" si="76"/>
        <v>1659</v>
      </c>
      <c r="E229" s="233">
        <f t="shared" si="76"/>
        <v>8586</v>
      </c>
      <c r="F229" s="233">
        <f t="shared" si="76"/>
        <v>8586</v>
      </c>
      <c r="G229" s="233">
        <f t="shared" si="76"/>
        <v>63</v>
      </c>
      <c r="H229" s="231">
        <f t="shared" si="62"/>
        <v>1.0370817731610098</v>
      </c>
      <c r="I229" s="245"/>
      <c r="J229" s="246"/>
      <c r="K229" s="205">
        <v>92656</v>
      </c>
      <c r="L229" s="205">
        <f>E229-G229-K229</f>
        <v>-84133</v>
      </c>
      <c r="M229" s="205">
        <f>B229-D229</f>
        <v>6620</v>
      </c>
      <c r="N229" s="205">
        <f>L229/M229-1</f>
        <v>-13.708912386706949</v>
      </c>
      <c r="O229" s="247"/>
      <c r="P229" s="248"/>
      <c r="Q229" s="261"/>
      <c r="R229" s="261"/>
      <c r="S229" s="261"/>
      <c r="AA229" s="263">
        <f t="shared" si="72"/>
        <v>0</v>
      </c>
    </row>
    <row r="230" spans="1:27" s="207" customFormat="1" ht="24" customHeight="1">
      <c r="A230" s="234" t="s">
        <v>496</v>
      </c>
      <c r="B230" s="235">
        <f aca="true" t="shared" si="77" ref="B230:G230">SUM(B231:B233)</f>
        <v>459</v>
      </c>
      <c r="C230" s="235">
        <f t="shared" si="77"/>
        <v>459</v>
      </c>
      <c r="D230" s="235">
        <f t="shared" si="77"/>
        <v>0</v>
      </c>
      <c r="E230" s="235">
        <f t="shared" si="77"/>
        <v>482</v>
      </c>
      <c r="F230" s="235">
        <f t="shared" si="77"/>
        <v>482</v>
      </c>
      <c r="G230" s="235">
        <f t="shared" si="77"/>
        <v>0</v>
      </c>
      <c r="H230" s="231">
        <f t="shared" si="62"/>
        <v>1.0501089324618735</v>
      </c>
      <c r="I230" s="249"/>
      <c r="J230" s="250"/>
      <c r="O230" s="251"/>
      <c r="P230" s="252"/>
      <c r="AA230" s="254">
        <f t="shared" si="72"/>
        <v>0</v>
      </c>
    </row>
    <row r="231" spans="1:27" s="207" customFormat="1" ht="24" customHeight="1">
      <c r="A231" s="234" t="s">
        <v>497</v>
      </c>
      <c r="B231" s="235">
        <v>459</v>
      </c>
      <c r="C231" s="235">
        <v>459</v>
      </c>
      <c r="D231" s="235"/>
      <c r="E231" s="235">
        <v>348</v>
      </c>
      <c r="F231" s="235">
        <f>262+86</f>
        <v>348</v>
      </c>
      <c r="G231" s="235"/>
      <c r="H231" s="231">
        <f t="shared" si="62"/>
        <v>0.7581699346405228</v>
      </c>
      <c r="I231" s="255"/>
      <c r="O231" s="251"/>
      <c r="P231" s="252"/>
      <c r="AA231" s="254">
        <f t="shared" si="72"/>
        <v>0</v>
      </c>
    </row>
    <row r="232" spans="1:27" s="207" customFormat="1" ht="28.5" customHeight="1">
      <c r="A232" s="234" t="s">
        <v>498</v>
      </c>
      <c r="B232" s="235"/>
      <c r="C232" s="235"/>
      <c r="D232" s="235"/>
      <c r="E232" s="235"/>
      <c r="F232" s="235"/>
      <c r="G232" s="235"/>
      <c r="H232" s="231" t="e">
        <f t="shared" si="62"/>
        <v>#DIV/0!</v>
      </c>
      <c r="I232" s="255"/>
      <c r="O232" s="251"/>
      <c r="P232" s="252"/>
      <c r="AA232" s="254">
        <f t="shared" si="72"/>
        <v>0</v>
      </c>
    </row>
    <row r="233" spans="1:27" s="207" customFormat="1" ht="28.5" customHeight="1">
      <c r="A233" s="234" t="s">
        <v>499</v>
      </c>
      <c r="B233" s="235"/>
      <c r="C233" s="235"/>
      <c r="D233" s="235"/>
      <c r="E233" s="235">
        <v>134</v>
      </c>
      <c r="F233" s="235">
        <f>134</f>
        <v>134</v>
      </c>
      <c r="G233" s="235"/>
      <c r="H233" s="231" t="e">
        <f t="shared" si="62"/>
        <v>#DIV/0!</v>
      </c>
      <c r="I233" s="269"/>
      <c r="O233" s="251"/>
      <c r="P233" s="252"/>
      <c r="AA233" s="254">
        <f t="shared" si="72"/>
        <v>0</v>
      </c>
    </row>
    <row r="234" spans="1:27" s="207" customFormat="1" ht="24" customHeight="1">
      <c r="A234" s="234" t="s">
        <v>500</v>
      </c>
      <c r="B234" s="235">
        <f aca="true" t="shared" si="78" ref="B234:G234">SUM(B235:B238)</f>
        <v>1689</v>
      </c>
      <c r="C234" s="235">
        <f t="shared" si="78"/>
        <v>1689</v>
      </c>
      <c r="D234" s="235">
        <f t="shared" si="78"/>
        <v>240</v>
      </c>
      <c r="E234" s="235">
        <f t="shared" si="78"/>
        <v>1463</v>
      </c>
      <c r="F234" s="235">
        <f t="shared" si="78"/>
        <v>1463</v>
      </c>
      <c r="G234" s="235">
        <f t="shared" si="78"/>
        <v>0</v>
      </c>
      <c r="H234" s="231">
        <f t="shared" si="62"/>
        <v>0.8661930136175252</v>
      </c>
      <c r="I234" s="269"/>
      <c r="J234" s="250"/>
      <c r="O234" s="251"/>
      <c r="P234" s="252"/>
      <c r="AA234" s="254">
        <f t="shared" si="72"/>
        <v>0</v>
      </c>
    </row>
    <row r="235" spans="1:27" s="207" customFormat="1" ht="28.5" customHeight="1">
      <c r="A235" s="234" t="s">
        <v>501</v>
      </c>
      <c r="B235" s="235">
        <v>1267</v>
      </c>
      <c r="C235" s="235">
        <v>1267</v>
      </c>
      <c r="D235" s="235"/>
      <c r="E235" s="235">
        <v>1181</v>
      </c>
      <c r="F235" s="235">
        <f>1181</f>
        <v>1181</v>
      </c>
      <c r="G235" s="235"/>
      <c r="H235" s="231">
        <f t="shared" si="62"/>
        <v>0.9321231254932912</v>
      </c>
      <c r="I235" s="249" t="s">
        <v>502</v>
      </c>
      <c r="O235" s="251"/>
      <c r="P235" s="252"/>
      <c r="AA235" s="254">
        <f t="shared" si="72"/>
        <v>0</v>
      </c>
    </row>
    <row r="236" spans="1:27" s="207" customFormat="1" ht="24" customHeight="1">
      <c r="A236" s="234" t="s">
        <v>503</v>
      </c>
      <c r="B236" s="235">
        <v>422</v>
      </c>
      <c r="C236" s="235">
        <v>422</v>
      </c>
      <c r="D236" s="235"/>
      <c r="E236" s="235">
        <v>282</v>
      </c>
      <c r="F236" s="235">
        <f>282</f>
        <v>282</v>
      </c>
      <c r="G236" s="235"/>
      <c r="H236" s="231">
        <f t="shared" si="62"/>
        <v>0.6682464454976303</v>
      </c>
      <c r="I236" s="255"/>
      <c r="O236" s="251"/>
      <c r="P236" s="252"/>
      <c r="AA236" s="254">
        <f t="shared" si="72"/>
        <v>0</v>
      </c>
    </row>
    <row r="237" spans="1:27" s="207" customFormat="1" ht="24" customHeight="1">
      <c r="A237" s="234" t="s">
        <v>504</v>
      </c>
      <c r="B237" s="235"/>
      <c r="C237" s="235"/>
      <c r="D237" s="235"/>
      <c r="E237" s="235"/>
      <c r="F237" s="235"/>
      <c r="G237" s="235"/>
      <c r="H237" s="231" t="e">
        <f t="shared" si="62"/>
        <v>#DIV/0!</v>
      </c>
      <c r="I237" s="255"/>
      <c r="O237" s="251"/>
      <c r="P237" s="252"/>
      <c r="AA237" s="254">
        <f t="shared" si="72"/>
        <v>0</v>
      </c>
    </row>
    <row r="238" spans="1:27" s="207" customFormat="1" ht="24" customHeight="1">
      <c r="A238" s="234" t="s">
        <v>505</v>
      </c>
      <c r="B238" s="235"/>
      <c r="C238" s="235"/>
      <c r="D238" s="235">
        <v>240</v>
      </c>
      <c r="E238" s="235"/>
      <c r="F238" s="235"/>
      <c r="G238" s="235"/>
      <c r="H238" s="231" t="e">
        <f t="shared" si="62"/>
        <v>#DIV/0!</v>
      </c>
      <c r="I238" s="255"/>
      <c r="O238" s="251"/>
      <c r="P238" s="234"/>
      <c r="AA238" s="254">
        <f t="shared" si="72"/>
        <v>0</v>
      </c>
    </row>
    <row r="239" spans="1:27" s="207" customFormat="1" ht="24" customHeight="1">
      <c r="A239" s="234" t="s">
        <v>506</v>
      </c>
      <c r="B239" s="235">
        <f>SUM(B240:B241)</f>
        <v>1126</v>
      </c>
      <c r="C239" s="235">
        <f>SUM(C240:C241)</f>
        <v>1126</v>
      </c>
      <c r="D239" s="235">
        <f>SUM(D241)</f>
        <v>25</v>
      </c>
      <c r="E239" s="235">
        <f>SUM(E240:E241)</f>
        <v>1185</v>
      </c>
      <c r="F239" s="235">
        <f>SUM(F240:F241)</f>
        <v>1185</v>
      </c>
      <c r="G239" s="235">
        <f>SUM(G241)</f>
        <v>0</v>
      </c>
      <c r="H239" s="231">
        <f t="shared" si="62"/>
        <v>1.052397868561279</v>
      </c>
      <c r="I239" s="249"/>
      <c r="J239" s="250"/>
      <c r="O239" s="251"/>
      <c r="P239" s="252"/>
      <c r="AA239" s="254">
        <f t="shared" si="72"/>
        <v>0</v>
      </c>
    </row>
    <row r="240" spans="1:27" s="207" customFormat="1" ht="24" customHeight="1">
      <c r="A240" s="271" t="s">
        <v>507</v>
      </c>
      <c r="B240" s="235">
        <v>1027</v>
      </c>
      <c r="C240" s="235">
        <v>1027</v>
      </c>
      <c r="D240" s="235"/>
      <c r="E240" s="235">
        <v>1086</v>
      </c>
      <c r="F240" s="235">
        <f>1086</f>
        <v>1086</v>
      </c>
      <c r="G240" s="235"/>
      <c r="H240" s="231">
        <f t="shared" si="62"/>
        <v>1.0574488802336903</v>
      </c>
      <c r="I240" s="249"/>
      <c r="J240" s="250"/>
      <c r="O240" s="251"/>
      <c r="P240" s="252"/>
      <c r="AA240" s="254"/>
    </row>
    <row r="241" spans="1:252" s="207" customFormat="1" ht="31.5" customHeight="1">
      <c r="A241" s="234" t="s">
        <v>508</v>
      </c>
      <c r="B241" s="235">
        <v>99</v>
      </c>
      <c r="C241" s="235">
        <v>99</v>
      </c>
      <c r="D241" s="235">
        <v>25</v>
      </c>
      <c r="E241" s="235">
        <v>99</v>
      </c>
      <c r="F241" s="235">
        <v>99</v>
      </c>
      <c r="G241" s="235"/>
      <c r="H241" s="231">
        <f t="shared" si="62"/>
        <v>1</v>
      </c>
      <c r="I241" s="249" t="s">
        <v>509</v>
      </c>
      <c r="J241" s="254"/>
      <c r="K241" s="254"/>
      <c r="L241" s="254"/>
      <c r="M241" s="254"/>
      <c r="N241" s="254"/>
      <c r="O241" s="251"/>
      <c r="P241" s="252"/>
      <c r="X241" s="262"/>
      <c r="Y241" s="262"/>
      <c r="Z241" s="262"/>
      <c r="AA241" s="254">
        <f aca="true" t="shared" si="79" ref="AA241:AA263">F241-E241</f>
        <v>0</v>
      </c>
      <c r="AB241" s="262"/>
      <c r="AC241" s="262"/>
      <c r="AD241" s="262"/>
      <c r="AE241" s="262"/>
      <c r="AF241" s="262"/>
      <c r="AG241" s="262"/>
      <c r="AH241" s="262"/>
      <c r="AI241" s="262"/>
      <c r="AJ241" s="262"/>
      <c r="AK241" s="262"/>
      <c r="AL241" s="262"/>
      <c r="AM241" s="262"/>
      <c r="AN241" s="262"/>
      <c r="AO241" s="262"/>
      <c r="AP241" s="262"/>
      <c r="AQ241" s="262"/>
      <c r="AR241" s="262"/>
      <c r="AS241" s="262"/>
      <c r="AT241" s="262"/>
      <c r="AU241" s="262"/>
      <c r="AV241" s="262"/>
      <c r="AW241" s="262"/>
      <c r="AX241" s="262"/>
      <c r="AY241" s="262"/>
      <c r="AZ241" s="262"/>
      <c r="BA241" s="262"/>
      <c r="BB241" s="262"/>
      <c r="BC241" s="262"/>
      <c r="BD241" s="262"/>
      <c r="BE241" s="262"/>
      <c r="BF241" s="262"/>
      <c r="BG241" s="262"/>
      <c r="BH241" s="262"/>
      <c r="BI241" s="262"/>
      <c r="BJ241" s="262"/>
      <c r="BK241" s="262"/>
      <c r="BL241" s="262"/>
      <c r="BM241" s="262"/>
      <c r="BN241" s="262"/>
      <c r="BO241" s="262"/>
      <c r="BP241" s="262"/>
      <c r="BQ241" s="262"/>
      <c r="BR241" s="262"/>
      <c r="BS241" s="262"/>
      <c r="BT241" s="262"/>
      <c r="BU241" s="262"/>
      <c r="BV241" s="262"/>
      <c r="BW241" s="262"/>
      <c r="BX241" s="262"/>
      <c r="BY241" s="262"/>
      <c r="BZ241" s="262"/>
      <c r="CA241" s="262"/>
      <c r="CB241" s="262"/>
      <c r="CC241" s="262"/>
      <c r="CD241" s="262"/>
      <c r="CE241" s="262"/>
      <c r="CF241" s="262"/>
      <c r="CG241" s="262"/>
      <c r="CH241" s="262"/>
      <c r="CI241" s="262"/>
      <c r="CJ241" s="262"/>
      <c r="CK241" s="262"/>
      <c r="CL241" s="262"/>
      <c r="CM241" s="262"/>
      <c r="CN241" s="262"/>
      <c r="CO241" s="262"/>
      <c r="CP241" s="262"/>
      <c r="CQ241" s="262"/>
      <c r="CR241" s="262"/>
      <c r="CS241" s="262"/>
      <c r="CT241" s="262"/>
      <c r="CU241" s="262"/>
      <c r="CV241" s="262"/>
      <c r="CW241" s="262"/>
      <c r="CX241" s="262"/>
      <c r="CY241" s="262"/>
      <c r="CZ241" s="262"/>
      <c r="DA241" s="262"/>
      <c r="DB241" s="262"/>
      <c r="DC241" s="262"/>
      <c r="DD241" s="262"/>
      <c r="DE241" s="262"/>
      <c r="DF241" s="262"/>
      <c r="DG241" s="262"/>
      <c r="DH241" s="262"/>
      <c r="DI241" s="262"/>
      <c r="DJ241" s="262"/>
      <c r="DK241" s="262"/>
      <c r="DL241" s="262"/>
      <c r="DM241" s="262"/>
      <c r="DN241" s="262"/>
      <c r="DO241" s="262"/>
      <c r="DP241" s="262"/>
      <c r="DQ241" s="262"/>
      <c r="DR241" s="262"/>
      <c r="DS241" s="262"/>
      <c r="DT241" s="262"/>
      <c r="DU241" s="262"/>
      <c r="DV241" s="262"/>
      <c r="DW241" s="262"/>
      <c r="DX241" s="262"/>
      <c r="DY241" s="262"/>
      <c r="DZ241" s="262"/>
      <c r="EA241" s="262"/>
      <c r="EB241" s="262"/>
      <c r="EC241" s="262"/>
      <c r="ED241" s="262"/>
      <c r="EE241" s="262"/>
      <c r="EF241" s="262"/>
      <c r="EG241" s="262"/>
      <c r="EH241" s="262"/>
      <c r="EI241" s="262"/>
      <c r="EJ241" s="262"/>
      <c r="EK241" s="262"/>
      <c r="EL241" s="262"/>
      <c r="EM241" s="262"/>
      <c r="EN241" s="262"/>
      <c r="EO241" s="262"/>
      <c r="EP241" s="262"/>
      <c r="EQ241" s="262"/>
      <c r="ER241" s="262"/>
      <c r="ES241" s="262"/>
      <c r="ET241" s="262"/>
      <c r="EU241" s="262"/>
      <c r="EV241" s="262"/>
      <c r="EW241" s="262"/>
      <c r="EX241" s="262"/>
      <c r="EY241" s="262"/>
      <c r="EZ241" s="262"/>
      <c r="FA241" s="262"/>
      <c r="FB241" s="262"/>
      <c r="FC241" s="262"/>
      <c r="FD241" s="262"/>
      <c r="FE241" s="262"/>
      <c r="FF241" s="262"/>
      <c r="FG241" s="262"/>
      <c r="FH241" s="262"/>
      <c r="FI241" s="262"/>
      <c r="FJ241" s="262"/>
      <c r="FK241" s="262"/>
      <c r="FL241" s="262"/>
      <c r="FM241" s="262"/>
      <c r="FN241" s="262"/>
      <c r="FO241" s="262"/>
      <c r="FP241" s="262"/>
      <c r="FQ241" s="262"/>
      <c r="FR241" s="262"/>
      <c r="FS241" s="262"/>
      <c r="FT241" s="262"/>
      <c r="FU241" s="262"/>
      <c r="FV241" s="262"/>
      <c r="FW241" s="262"/>
      <c r="FX241" s="262"/>
      <c r="FY241" s="262"/>
      <c r="FZ241" s="262"/>
      <c r="GA241" s="262"/>
      <c r="GB241" s="262"/>
      <c r="GC241" s="262"/>
      <c r="GD241" s="262"/>
      <c r="GE241" s="262"/>
      <c r="GF241" s="262"/>
      <c r="GG241" s="262"/>
      <c r="GH241" s="262"/>
      <c r="GI241" s="262"/>
      <c r="GJ241" s="262"/>
      <c r="GK241" s="262"/>
      <c r="GL241" s="262"/>
      <c r="GM241" s="262"/>
      <c r="GN241" s="262"/>
      <c r="GO241" s="262"/>
      <c r="GP241" s="262"/>
      <c r="GQ241" s="262"/>
      <c r="GR241" s="262"/>
      <c r="GS241" s="262"/>
      <c r="GT241" s="262"/>
      <c r="GU241" s="262"/>
      <c r="GV241" s="262"/>
      <c r="GW241" s="262"/>
      <c r="GX241" s="262"/>
      <c r="GY241" s="262"/>
      <c r="GZ241" s="262"/>
      <c r="HA241" s="262"/>
      <c r="HB241" s="262"/>
      <c r="HC241" s="262"/>
      <c r="HD241" s="262"/>
      <c r="HE241" s="262"/>
      <c r="HF241" s="262"/>
      <c r="HG241" s="262"/>
      <c r="HH241" s="262"/>
      <c r="HI241" s="262"/>
      <c r="HJ241" s="262"/>
      <c r="HK241" s="262"/>
      <c r="HL241" s="262"/>
      <c r="HM241" s="262"/>
      <c r="HN241" s="262"/>
      <c r="HO241" s="262"/>
      <c r="HP241" s="265"/>
      <c r="HQ241" s="265"/>
      <c r="HR241" s="265"/>
      <c r="HS241" s="265"/>
      <c r="HT241" s="265"/>
      <c r="HU241" s="265"/>
      <c r="HV241" s="265"/>
      <c r="HW241" s="265"/>
      <c r="HX241" s="265"/>
      <c r="HY241" s="265"/>
      <c r="HZ241" s="265"/>
      <c r="IA241" s="265"/>
      <c r="IB241" s="265"/>
      <c r="IC241" s="265"/>
      <c r="ID241" s="265"/>
      <c r="IE241" s="265"/>
      <c r="IF241" s="265"/>
      <c r="IG241" s="265"/>
      <c r="IH241" s="265"/>
      <c r="II241" s="265"/>
      <c r="IJ241" s="265"/>
      <c r="IK241" s="265"/>
      <c r="IL241" s="265"/>
      <c r="IM241" s="265"/>
      <c r="IN241" s="265"/>
      <c r="IO241" s="265"/>
      <c r="IP241" s="265"/>
      <c r="IQ241" s="265"/>
      <c r="IR241" s="265"/>
    </row>
    <row r="242" spans="1:27" s="207" customFormat="1" ht="24" customHeight="1">
      <c r="A242" s="234" t="s">
        <v>510</v>
      </c>
      <c r="B242" s="235">
        <f aca="true" t="shared" si="80" ref="B242:G242">SUM(B243:B247)</f>
        <v>862</v>
      </c>
      <c r="C242" s="235">
        <f t="shared" si="80"/>
        <v>862</v>
      </c>
      <c r="D242" s="235">
        <f t="shared" si="80"/>
        <v>660</v>
      </c>
      <c r="E242" s="235">
        <f t="shared" si="80"/>
        <v>996</v>
      </c>
      <c r="F242" s="235">
        <f t="shared" si="80"/>
        <v>996</v>
      </c>
      <c r="G242" s="235">
        <f t="shared" si="80"/>
        <v>17</v>
      </c>
      <c r="H242" s="231">
        <f t="shared" si="62"/>
        <v>1.1554524361948957</v>
      </c>
      <c r="I242" s="249"/>
      <c r="J242" s="250"/>
      <c r="O242" s="251"/>
      <c r="P242" s="234"/>
      <c r="Q242" s="268"/>
      <c r="R242" s="268"/>
      <c r="S242" s="268"/>
      <c r="AA242" s="254">
        <f t="shared" si="79"/>
        <v>0</v>
      </c>
    </row>
    <row r="243" spans="1:27" s="207" customFormat="1" ht="24" customHeight="1">
      <c r="A243" s="234" t="s">
        <v>511</v>
      </c>
      <c r="B243" s="235">
        <f>212+11</f>
        <v>223</v>
      </c>
      <c r="C243" s="235">
        <f>212+11</f>
        <v>223</v>
      </c>
      <c r="D243" s="235"/>
      <c r="E243" s="235">
        <v>184</v>
      </c>
      <c r="F243" s="235">
        <f>174+10</f>
        <v>184</v>
      </c>
      <c r="G243" s="235"/>
      <c r="H243" s="231">
        <f t="shared" si="62"/>
        <v>0.8251121076233184</v>
      </c>
      <c r="I243" s="255"/>
      <c r="O243" s="251"/>
      <c r="P243" s="252"/>
      <c r="AA243" s="254">
        <f t="shared" si="79"/>
        <v>0</v>
      </c>
    </row>
    <row r="244" spans="1:27" s="207" customFormat="1" ht="24" customHeight="1">
      <c r="A244" s="234" t="s">
        <v>512</v>
      </c>
      <c r="B244" s="235">
        <f>119+11</f>
        <v>130</v>
      </c>
      <c r="C244" s="235">
        <f>119+11</f>
        <v>130</v>
      </c>
      <c r="D244" s="235"/>
      <c r="E244" s="235">
        <v>116</v>
      </c>
      <c r="F244" s="235">
        <f>107+9</f>
        <v>116</v>
      </c>
      <c r="G244" s="235"/>
      <c r="H244" s="231">
        <f t="shared" si="62"/>
        <v>0.8923076923076924</v>
      </c>
      <c r="I244" s="255"/>
      <c r="O244" s="251"/>
      <c r="P244" s="252"/>
      <c r="AA244" s="254">
        <f t="shared" si="79"/>
        <v>0</v>
      </c>
    </row>
    <row r="245" spans="1:27" s="207" customFormat="1" ht="24" customHeight="1">
      <c r="A245" s="234" t="s">
        <v>513</v>
      </c>
      <c r="B245" s="235">
        <v>377</v>
      </c>
      <c r="C245" s="235">
        <v>377</v>
      </c>
      <c r="D245" s="235"/>
      <c r="E245" s="235">
        <v>376</v>
      </c>
      <c r="F245" s="235">
        <f>363+13</f>
        <v>376</v>
      </c>
      <c r="G245" s="235"/>
      <c r="H245" s="231">
        <f t="shared" si="62"/>
        <v>0.9973474801061007</v>
      </c>
      <c r="I245" s="255"/>
      <c r="O245" s="251"/>
      <c r="P245" s="252"/>
      <c r="AA245" s="254">
        <f t="shared" si="79"/>
        <v>0</v>
      </c>
    </row>
    <row r="246" spans="1:27" s="207" customFormat="1" ht="32.25" customHeight="1">
      <c r="A246" s="234" t="s">
        <v>514</v>
      </c>
      <c r="B246" s="235">
        <v>132</v>
      </c>
      <c r="C246" s="235">
        <f>85+6+41</f>
        <v>132</v>
      </c>
      <c r="D246" s="235">
        <v>633</v>
      </c>
      <c r="E246" s="235">
        <v>320</v>
      </c>
      <c r="F246" s="235">
        <f>98+100+6+44+66+6</f>
        <v>320</v>
      </c>
      <c r="G246" s="235"/>
      <c r="H246" s="231">
        <f t="shared" si="62"/>
        <v>2.4242424242424243</v>
      </c>
      <c r="I246" s="255" t="s">
        <v>515</v>
      </c>
      <c r="O246" s="251"/>
      <c r="P246" s="252"/>
      <c r="AA246" s="254">
        <f t="shared" si="79"/>
        <v>0</v>
      </c>
    </row>
    <row r="247" spans="1:27" s="207" customFormat="1" ht="24" customHeight="1">
      <c r="A247" s="234" t="s">
        <v>516</v>
      </c>
      <c r="B247" s="235"/>
      <c r="C247" s="235"/>
      <c r="D247" s="235">
        <v>27</v>
      </c>
      <c r="E247" s="235"/>
      <c r="F247" s="235"/>
      <c r="G247" s="235">
        <v>17</v>
      </c>
      <c r="H247" s="231" t="e">
        <f t="shared" si="62"/>
        <v>#DIV/0!</v>
      </c>
      <c r="I247" s="255"/>
      <c r="O247" s="251"/>
      <c r="P247" s="252"/>
      <c r="AA247" s="254">
        <f t="shared" si="79"/>
        <v>0</v>
      </c>
    </row>
    <row r="248" spans="1:27" s="207" customFormat="1" ht="24" customHeight="1">
      <c r="A248" s="234" t="s">
        <v>517</v>
      </c>
      <c r="B248" s="235">
        <f aca="true" t="shared" si="81" ref="B248:G248">SUM(B249)</f>
        <v>0</v>
      </c>
      <c r="C248" s="235">
        <f t="shared" si="81"/>
        <v>0</v>
      </c>
      <c r="D248" s="235">
        <f t="shared" si="81"/>
        <v>19</v>
      </c>
      <c r="E248" s="235">
        <f t="shared" si="81"/>
        <v>0</v>
      </c>
      <c r="F248" s="235">
        <f t="shared" si="81"/>
        <v>0</v>
      </c>
      <c r="G248" s="235">
        <f t="shared" si="81"/>
        <v>0</v>
      </c>
      <c r="H248" s="231" t="e">
        <f t="shared" si="62"/>
        <v>#DIV/0!</v>
      </c>
      <c r="I248" s="255"/>
      <c r="O248" s="251"/>
      <c r="P248" s="234"/>
      <c r="AA248" s="254">
        <f t="shared" si="79"/>
        <v>0</v>
      </c>
    </row>
    <row r="249" spans="1:27" s="207" customFormat="1" ht="24" customHeight="1">
      <c r="A249" s="234" t="s">
        <v>518</v>
      </c>
      <c r="B249" s="235"/>
      <c r="C249" s="235"/>
      <c r="D249" s="235">
        <v>19</v>
      </c>
      <c r="E249" s="235"/>
      <c r="F249" s="235"/>
      <c r="G249" s="235"/>
      <c r="H249" s="231" t="e">
        <f t="shared" si="62"/>
        <v>#DIV/0!</v>
      </c>
      <c r="I249" s="255"/>
      <c r="O249" s="251"/>
      <c r="P249" s="234"/>
      <c r="AA249" s="254">
        <f t="shared" si="79"/>
        <v>0</v>
      </c>
    </row>
    <row r="250" spans="1:27" s="207" customFormat="1" ht="24" customHeight="1">
      <c r="A250" s="234" t="s">
        <v>519</v>
      </c>
      <c r="B250" s="235">
        <f aca="true" t="shared" si="82" ref="B250:G250">SUM(B251:B252)</f>
        <v>228</v>
      </c>
      <c r="C250" s="235">
        <f t="shared" si="82"/>
        <v>228</v>
      </c>
      <c r="D250" s="235">
        <f t="shared" si="82"/>
        <v>96</v>
      </c>
      <c r="E250" s="235">
        <f t="shared" si="82"/>
        <v>131</v>
      </c>
      <c r="F250" s="235">
        <f t="shared" si="82"/>
        <v>131</v>
      </c>
      <c r="G250" s="235">
        <f t="shared" si="82"/>
        <v>0</v>
      </c>
      <c r="H250" s="231">
        <f t="shared" si="62"/>
        <v>0.5745614035087719</v>
      </c>
      <c r="I250" s="255"/>
      <c r="O250" s="251"/>
      <c r="P250" s="252"/>
      <c r="AA250" s="254">
        <f t="shared" si="79"/>
        <v>0</v>
      </c>
    </row>
    <row r="251" spans="1:27" s="207" customFormat="1" ht="24" customHeight="1">
      <c r="A251" s="234" t="s">
        <v>520</v>
      </c>
      <c r="B251" s="235">
        <v>41</v>
      </c>
      <c r="C251" s="235">
        <v>41</v>
      </c>
      <c r="D251" s="235"/>
      <c r="E251" s="235">
        <v>13</v>
      </c>
      <c r="F251" s="235">
        <f>6+2+5</f>
        <v>13</v>
      </c>
      <c r="G251" s="235"/>
      <c r="H251" s="231">
        <f t="shared" si="62"/>
        <v>0.3170731707317073</v>
      </c>
      <c r="I251" s="255"/>
      <c r="O251" s="251"/>
      <c r="P251" s="234"/>
      <c r="AA251" s="254">
        <f t="shared" si="79"/>
        <v>0</v>
      </c>
    </row>
    <row r="252" spans="1:27" s="207" customFormat="1" ht="24" customHeight="1">
      <c r="A252" s="234" t="s">
        <v>521</v>
      </c>
      <c r="B252" s="235">
        <v>187</v>
      </c>
      <c r="C252" s="235">
        <v>187</v>
      </c>
      <c r="D252" s="235">
        <v>96</v>
      </c>
      <c r="E252" s="235">
        <v>118</v>
      </c>
      <c r="F252" s="235">
        <f>118</f>
        <v>118</v>
      </c>
      <c r="G252" s="235"/>
      <c r="H252" s="231">
        <f t="shared" si="62"/>
        <v>0.6310160427807486</v>
      </c>
      <c r="I252" s="269"/>
      <c r="O252" s="251"/>
      <c r="P252" s="252"/>
      <c r="AA252" s="254">
        <f t="shared" si="79"/>
        <v>0</v>
      </c>
    </row>
    <row r="253" spans="1:27" s="207" customFormat="1" ht="24" customHeight="1">
      <c r="A253" s="234" t="s">
        <v>522</v>
      </c>
      <c r="B253" s="235">
        <f aca="true" t="shared" si="83" ref="B253:G253">SUM(B254:B259)</f>
        <v>149</v>
      </c>
      <c r="C253" s="235">
        <f t="shared" si="83"/>
        <v>149</v>
      </c>
      <c r="D253" s="235">
        <f t="shared" si="83"/>
        <v>8</v>
      </c>
      <c r="E253" s="235">
        <f t="shared" si="83"/>
        <v>54</v>
      </c>
      <c r="F253" s="235">
        <f t="shared" si="83"/>
        <v>54</v>
      </c>
      <c r="G253" s="235">
        <f t="shared" si="83"/>
        <v>0</v>
      </c>
      <c r="H253" s="231">
        <f t="shared" si="62"/>
        <v>0.3624161073825503</v>
      </c>
      <c r="I253" s="249"/>
      <c r="J253" s="250"/>
      <c r="O253" s="251"/>
      <c r="P253" s="252"/>
      <c r="Q253" s="268"/>
      <c r="R253" s="268"/>
      <c r="AA253" s="254">
        <f t="shared" si="79"/>
        <v>0</v>
      </c>
    </row>
    <row r="254" spans="1:27" s="207" customFormat="1" ht="24" customHeight="1">
      <c r="A254" s="234" t="s">
        <v>523</v>
      </c>
      <c r="B254" s="235">
        <v>149</v>
      </c>
      <c r="C254" s="235">
        <v>149</v>
      </c>
      <c r="D254" s="235"/>
      <c r="E254" s="235">
        <v>54</v>
      </c>
      <c r="F254" s="235">
        <f>54</f>
        <v>54</v>
      </c>
      <c r="G254" s="235"/>
      <c r="H254" s="231">
        <f t="shared" si="62"/>
        <v>0.3624161073825503</v>
      </c>
      <c r="I254" s="255" t="s">
        <v>524</v>
      </c>
      <c r="O254" s="251"/>
      <c r="P254" s="252"/>
      <c r="AA254" s="254">
        <f t="shared" si="79"/>
        <v>0</v>
      </c>
    </row>
    <row r="255" spans="1:27" s="207" customFormat="1" ht="24" customHeight="1">
      <c r="A255" s="234" t="s">
        <v>525</v>
      </c>
      <c r="B255" s="235"/>
      <c r="C255" s="235"/>
      <c r="D255" s="235"/>
      <c r="E255" s="235"/>
      <c r="F255" s="235"/>
      <c r="G255" s="235"/>
      <c r="H255" s="231" t="e">
        <f t="shared" si="62"/>
        <v>#DIV/0!</v>
      </c>
      <c r="I255" s="255"/>
      <c r="O255" s="251"/>
      <c r="P255" s="234"/>
      <c r="AA255" s="254">
        <f t="shared" si="79"/>
        <v>0</v>
      </c>
    </row>
    <row r="256" spans="1:27" s="207" customFormat="1" ht="24" customHeight="1">
      <c r="A256" s="234" t="s">
        <v>526</v>
      </c>
      <c r="B256" s="235"/>
      <c r="C256" s="235"/>
      <c r="D256" s="235"/>
      <c r="E256" s="235"/>
      <c r="F256" s="235"/>
      <c r="G256" s="235"/>
      <c r="H256" s="231" t="e">
        <f t="shared" si="62"/>
        <v>#DIV/0!</v>
      </c>
      <c r="I256" s="255"/>
      <c r="O256" s="251"/>
      <c r="P256" s="234"/>
      <c r="AA256" s="254">
        <f t="shared" si="79"/>
        <v>0</v>
      </c>
    </row>
    <row r="257" spans="1:27" s="207" customFormat="1" ht="24" customHeight="1">
      <c r="A257" s="234" t="s">
        <v>527</v>
      </c>
      <c r="B257" s="235"/>
      <c r="C257" s="235"/>
      <c r="D257" s="235"/>
      <c r="E257" s="235"/>
      <c r="F257" s="235"/>
      <c r="G257" s="235"/>
      <c r="H257" s="231" t="e">
        <f t="shared" si="62"/>
        <v>#DIV/0!</v>
      </c>
      <c r="I257" s="269"/>
      <c r="O257" s="251"/>
      <c r="P257" s="252"/>
      <c r="AA257" s="254">
        <f t="shared" si="79"/>
        <v>0</v>
      </c>
    </row>
    <row r="258" spans="1:27" s="207" customFormat="1" ht="27.75" customHeight="1">
      <c r="A258" s="234" t="s">
        <v>528</v>
      </c>
      <c r="B258" s="235"/>
      <c r="C258" s="235"/>
      <c r="D258" s="235"/>
      <c r="E258" s="235"/>
      <c r="F258" s="235"/>
      <c r="G258" s="235"/>
      <c r="H258" s="231" t="e">
        <f t="shared" si="62"/>
        <v>#DIV/0!</v>
      </c>
      <c r="I258" s="255"/>
      <c r="O258" s="251"/>
      <c r="P258" s="252"/>
      <c r="AA258" s="254">
        <f t="shared" si="79"/>
        <v>0</v>
      </c>
    </row>
    <row r="259" spans="1:27" s="207" customFormat="1" ht="27.75" customHeight="1">
      <c r="A259" s="234" t="s">
        <v>529</v>
      </c>
      <c r="B259" s="235"/>
      <c r="C259" s="235"/>
      <c r="D259" s="235">
        <v>8</v>
      </c>
      <c r="E259" s="235"/>
      <c r="F259" s="235"/>
      <c r="G259" s="235"/>
      <c r="H259" s="231" t="e">
        <f aca="true" t="shared" si="84" ref="H259:H322">E259/B259</f>
        <v>#DIV/0!</v>
      </c>
      <c r="I259" s="255"/>
      <c r="O259" s="251"/>
      <c r="P259" s="252"/>
      <c r="AA259" s="254">
        <f t="shared" si="79"/>
        <v>0</v>
      </c>
    </row>
    <row r="260" spans="1:27" s="207" customFormat="1" ht="27.75" customHeight="1">
      <c r="A260" s="234" t="s">
        <v>530</v>
      </c>
      <c r="B260" s="235">
        <f>SUM(B261:B264)</f>
        <v>3558</v>
      </c>
      <c r="C260" s="235">
        <f>SUM(C261:C264)</f>
        <v>3558</v>
      </c>
      <c r="D260" s="235">
        <f>SUM(D261:D263)</f>
        <v>0</v>
      </c>
      <c r="E260" s="235">
        <f>SUM(E261:E264)</f>
        <v>4167</v>
      </c>
      <c r="F260" s="235">
        <f>SUM(F261:F264)</f>
        <v>4167</v>
      </c>
      <c r="G260" s="235">
        <f>SUM(G261:G263)</f>
        <v>0</v>
      </c>
      <c r="H260" s="231">
        <f t="shared" si="84"/>
        <v>1.1711635750421585</v>
      </c>
      <c r="I260" s="255"/>
      <c r="O260" s="251"/>
      <c r="P260" s="252"/>
      <c r="AA260" s="254">
        <f t="shared" si="79"/>
        <v>0</v>
      </c>
    </row>
    <row r="261" spans="1:27" s="207" customFormat="1" ht="27.75" customHeight="1">
      <c r="A261" s="234" t="s">
        <v>531</v>
      </c>
      <c r="B261" s="235">
        <v>2269</v>
      </c>
      <c r="C261" s="235">
        <f>2269</f>
        <v>2269</v>
      </c>
      <c r="D261" s="235"/>
      <c r="E261" s="235">
        <v>2057</v>
      </c>
      <c r="F261" s="235">
        <f>2057</f>
        <v>2057</v>
      </c>
      <c r="G261" s="235"/>
      <c r="H261" s="231">
        <f t="shared" si="84"/>
        <v>0.9065667695019832</v>
      </c>
      <c r="I261" s="255" t="s">
        <v>532</v>
      </c>
      <c r="O261" s="251"/>
      <c r="P261" s="252"/>
      <c r="AA261" s="254">
        <f t="shared" si="79"/>
        <v>0</v>
      </c>
    </row>
    <row r="262" spans="1:27" s="207" customFormat="1" ht="27.75" customHeight="1">
      <c r="A262" s="234" t="s">
        <v>533</v>
      </c>
      <c r="B262" s="235">
        <v>811</v>
      </c>
      <c r="C262" s="235">
        <v>811</v>
      </c>
      <c r="D262" s="235"/>
      <c r="E262" s="235">
        <v>1632</v>
      </c>
      <c r="F262" s="235">
        <v>1632</v>
      </c>
      <c r="G262" s="235"/>
      <c r="H262" s="231">
        <f t="shared" si="84"/>
        <v>2.0123304562268802</v>
      </c>
      <c r="I262" s="255"/>
      <c r="O262" s="251"/>
      <c r="P262" s="252"/>
      <c r="AA262" s="254">
        <f t="shared" si="79"/>
        <v>0</v>
      </c>
    </row>
    <row r="263" spans="1:27" s="207" customFormat="1" ht="27.75" customHeight="1">
      <c r="A263" s="234" t="s">
        <v>534</v>
      </c>
      <c r="B263" s="235"/>
      <c r="C263" s="235"/>
      <c r="D263" s="235"/>
      <c r="E263" s="235"/>
      <c r="F263" s="235"/>
      <c r="G263" s="235"/>
      <c r="H263" s="231" t="e">
        <f t="shared" si="84"/>
        <v>#DIV/0!</v>
      </c>
      <c r="I263" s="255"/>
      <c r="O263" s="251"/>
      <c r="AA263" s="254">
        <f t="shared" si="79"/>
        <v>0</v>
      </c>
    </row>
    <row r="264" spans="1:27" s="207" customFormat="1" ht="30" customHeight="1">
      <c r="A264" s="234" t="s">
        <v>535</v>
      </c>
      <c r="B264" s="235">
        <v>478</v>
      </c>
      <c r="C264" s="235">
        <f>198+127+138+15</f>
        <v>478</v>
      </c>
      <c r="D264" s="235"/>
      <c r="E264" s="235">
        <v>478</v>
      </c>
      <c r="F264" s="235">
        <f>198+127+138+15</f>
        <v>478</v>
      </c>
      <c r="G264" s="235"/>
      <c r="H264" s="231">
        <f t="shared" si="84"/>
        <v>1</v>
      </c>
      <c r="I264" s="255"/>
      <c r="O264" s="251"/>
      <c r="AA264" s="254"/>
    </row>
    <row r="265" spans="1:27" s="207" customFormat="1" ht="24" customHeight="1">
      <c r="A265" s="234" t="s">
        <v>536</v>
      </c>
      <c r="B265" s="235">
        <f aca="true" t="shared" si="85" ref="B265:G265">SUM(B266:B267)</f>
        <v>145</v>
      </c>
      <c r="C265" s="235">
        <f t="shared" si="85"/>
        <v>145</v>
      </c>
      <c r="D265" s="235">
        <f t="shared" si="85"/>
        <v>419</v>
      </c>
      <c r="E265" s="235">
        <f t="shared" si="85"/>
        <v>45</v>
      </c>
      <c r="F265" s="235">
        <f t="shared" si="85"/>
        <v>45</v>
      </c>
      <c r="G265" s="235">
        <f t="shared" si="85"/>
        <v>0</v>
      </c>
      <c r="H265" s="231">
        <f t="shared" si="84"/>
        <v>0.3103448275862069</v>
      </c>
      <c r="I265" s="255"/>
      <c r="O265" s="251"/>
      <c r="P265" s="252"/>
      <c r="Q265" s="268"/>
      <c r="R265" s="268"/>
      <c r="S265" s="268"/>
      <c r="AA265" s="254">
        <f>F265-E265</f>
        <v>0</v>
      </c>
    </row>
    <row r="266" spans="1:252" s="207" customFormat="1" ht="24" customHeight="1">
      <c r="A266" s="234" t="s">
        <v>537</v>
      </c>
      <c r="B266" s="235">
        <v>145</v>
      </c>
      <c r="C266" s="235">
        <f>145</f>
        <v>145</v>
      </c>
      <c r="D266" s="235">
        <v>419</v>
      </c>
      <c r="E266" s="235">
        <v>45</v>
      </c>
      <c r="F266" s="235">
        <v>45</v>
      </c>
      <c r="G266" s="235"/>
      <c r="H266" s="231">
        <f t="shared" si="84"/>
        <v>0.3103448275862069</v>
      </c>
      <c r="I266" s="255"/>
      <c r="J266" s="254"/>
      <c r="K266" s="254"/>
      <c r="L266" s="254"/>
      <c r="M266" s="254"/>
      <c r="N266" s="254"/>
      <c r="O266" s="251"/>
      <c r="P266" s="252"/>
      <c r="X266" s="262"/>
      <c r="Y266" s="262"/>
      <c r="Z266" s="262"/>
      <c r="AA266" s="254">
        <f>F266-E266</f>
        <v>0</v>
      </c>
      <c r="AB266" s="262"/>
      <c r="AC266" s="262"/>
      <c r="AD266" s="262"/>
      <c r="AE266" s="262"/>
      <c r="AF266" s="262"/>
      <c r="AG266" s="262"/>
      <c r="AH266" s="262"/>
      <c r="AI266" s="262"/>
      <c r="AJ266" s="262"/>
      <c r="AK266" s="262"/>
      <c r="AL266" s="262"/>
      <c r="AM266" s="262"/>
      <c r="AN266" s="262"/>
      <c r="AO266" s="262"/>
      <c r="AP266" s="262"/>
      <c r="AQ266" s="262"/>
      <c r="AR266" s="262"/>
      <c r="AS266" s="262"/>
      <c r="AT266" s="262"/>
      <c r="AU266" s="262"/>
      <c r="AV266" s="262"/>
      <c r="AW266" s="262"/>
      <c r="AX266" s="262"/>
      <c r="AY266" s="262"/>
      <c r="AZ266" s="262"/>
      <c r="BA266" s="262"/>
      <c r="BB266" s="262"/>
      <c r="BC266" s="262"/>
      <c r="BD266" s="262"/>
      <c r="BE266" s="262"/>
      <c r="BF266" s="262"/>
      <c r="BG266" s="262"/>
      <c r="BH266" s="262"/>
      <c r="BI266" s="262"/>
      <c r="BJ266" s="262"/>
      <c r="BK266" s="262"/>
      <c r="BL266" s="262"/>
      <c r="BM266" s="262"/>
      <c r="BN266" s="262"/>
      <c r="BO266" s="262"/>
      <c r="BP266" s="262"/>
      <c r="BQ266" s="262"/>
      <c r="BR266" s="262"/>
      <c r="BS266" s="262"/>
      <c r="BT266" s="262"/>
      <c r="BU266" s="262"/>
      <c r="BV266" s="262"/>
      <c r="BW266" s="262"/>
      <c r="BX266" s="262"/>
      <c r="BY266" s="262"/>
      <c r="BZ266" s="262"/>
      <c r="CA266" s="262"/>
      <c r="CB266" s="262"/>
      <c r="CC266" s="262"/>
      <c r="CD266" s="262"/>
      <c r="CE266" s="262"/>
      <c r="CF266" s="262"/>
      <c r="CG266" s="262"/>
      <c r="CH266" s="262"/>
      <c r="CI266" s="262"/>
      <c r="CJ266" s="262"/>
      <c r="CK266" s="262"/>
      <c r="CL266" s="262"/>
      <c r="CM266" s="262"/>
      <c r="CN266" s="262"/>
      <c r="CO266" s="262"/>
      <c r="CP266" s="262"/>
      <c r="CQ266" s="262"/>
      <c r="CR266" s="262"/>
      <c r="CS266" s="262"/>
      <c r="CT266" s="262"/>
      <c r="CU266" s="262"/>
      <c r="CV266" s="262"/>
      <c r="CW266" s="262"/>
      <c r="CX266" s="262"/>
      <c r="CY266" s="262"/>
      <c r="CZ266" s="262"/>
      <c r="DA266" s="262"/>
      <c r="DB266" s="262"/>
      <c r="DC266" s="262"/>
      <c r="DD266" s="262"/>
      <c r="DE266" s="262"/>
      <c r="DF266" s="262"/>
      <c r="DG266" s="262"/>
      <c r="DH266" s="262"/>
      <c r="DI266" s="262"/>
      <c r="DJ266" s="262"/>
      <c r="DK266" s="262"/>
      <c r="DL266" s="262"/>
      <c r="DM266" s="262"/>
      <c r="DN266" s="262"/>
      <c r="DO266" s="262"/>
      <c r="DP266" s="262"/>
      <c r="DQ266" s="262"/>
      <c r="DR266" s="262"/>
      <c r="DS266" s="262"/>
      <c r="DT266" s="262"/>
      <c r="DU266" s="262"/>
      <c r="DV266" s="262"/>
      <c r="DW266" s="262"/>
      <c r="DX266" s="262"/>
      <c r="DY266" s="262"/>
      <c r="DZ266" s="262"/>
      <c r="EA266" s="262"/>
      <c r="EB266" s="262"/>
      <c r="EC266" s="262"/>
      <c r="ED266" s="262"/>
      <c r="EE266" s="262"/>
      <c r="EF266" s="262"/>
      <c r="EG266" s="262"/>
      <c r="EH266" s="262"/>
      <c r="EI266" s="262"/>
      <c r="EJ266" s="262"/>
      <c r="EK266" s="262"/>
      <c r="EL266" s="262"/>
      <c r="EM266" s="262"/>
      <c r="EN266" s="262"/>
      <c r="EO266" s="262"/>
      <c r="EP266" s="262"/>
      <c r="EQ266" s="262"/>
      <c r="ER266" s="262"/>
      <c r="ES266" s="262"/>
      <c r="ET266" s="262"/>
      <c r="EU266" s="262"/>
      <c r="EV266" s="262"/>
      <c r="EW266" s="262"/>
      <c r="EX266" s="262"/>
      <c r="EY266" s="262"/>
      <c r="EZ266" s="262"/>
      <c r="FA266" s="262"/>
      <c r="FB266" s="262"/>
      <c r="FC266" s="262"/>
      <c r="FD266" s="262"/>
      <c r="FE266" s="262"/>
      <c r="FF266" s="262"/>
      <c r="FG266" s="262"/>
      <c r="FH266" s="262"/>
      <c r="FI266" s="262"/>
      <c r="FJ266" s="262"/>
      <c r="FK266" s="262"/>
      <c r="FL266" s="262"/>
      <c r="FM266" s="262"/>
      <c r="FN266" s="262"/>
      <c r="FO266" s="262"/>
      <c r="FP266" s="262"/>
      <c r="FQ266" s="262"/>
      <c r="FR266" s="262"/>
      <c r="FS266" s="262"/>
      <c r="FT266" s="262"/>
      <c r="FU266" s="262"/>
      <c r="FV266" s="262"/>
      <c r="FW266" s="262"/>
      <c r="FX266" s="262"/>
      <c r="FY266" s="262"/>
      <c r="FZ266" s="262"/>
      <c r="GA266" s="262"/>
      <c r="GB266" s="262"/>
      <c r="GC266" s="262"/>
      <c r="GD266" s="262"/>
      <c r="GE266" s="262"/>
      <c r="GF266" s="262"/>
      <c r="GG266" s="262"/>
      <c r="GH266" s="262"/>
      <c r="GI266" s="262"/>
      <c r="GJ266" s="262"/>
      <c r="GK266" s="262"/>
      <c r="GL266" s="262"/>
      <c r="GM266" s="262"/>
      <c r="GN266" s="262"/>
      <c r="GO266" s="262"/>
      <c r="GP266" s="262"/>
      <c r="GQ266" s="262"/>
      <c r="GR266" s="262"/>
      <c r="GS266" s="262"/>
      <c r="GT266" s="262"/>
      <c r="GU266" s="262"/>
      <c r="GV266" s="262"/>
      <c r="GW266" s="262"/>
      <c r="GX266" s="262"/>
      <c r="GY266" s="262"/>
      <c r="GZ266" s="262"/>
      <c r="HA266" s="262"/>
      <c r="HB266" s="262"/>
      <c r="HC266" s="262"/>
      <c r="HD266" s="262"/>
      <c r="HE266" s="262"/>
      <c r="HF266" s="262"/>
      <c r="HG266" s="262"/>
      <c r="HH266" s="262"/>
      <c r="HI266" s="262"/>
      <c r="HJ266" s="262"/>
      <c r="HK266" s="262"/>
      <c r="HL266" s="262"/>
      <c r="HM266" s="262"/>
      <c r="HN266" s="262"/>
      <c r="HO266" s="262"/>
      <c r="HP266" s="265"/>
      <c r="HQ266" s="265"/>
      <c r="HR266" s="265"/>
      <c r="HS266" s="265"/>
      <c r="HT266" s="265"/>
      <c r="HU266" s="265"/>
      <c r="HV266" s="265"/>
      <c r="HW266" s="265"/>
      <c r="HX266" s="265"/>
      <c r="HY266" s="265"/>
      <c r="HZ266" s="265"/>
      <c r="IA266" s="265"/>
      <c r="IB266" s="265"/>
      <c r="IC266" s="265"/>
      <c r="ID266" s="265"/>
      <c r="IE266" s="265"/>
      <c r="IF266" s="265"/>
      <c r="IG266" s="265"/>
      <c r="IH266" s="265"/>
      <c r="II266" s="265"/>
      <c r="IJ266" s="265"/>
      <c r="IK266" s="265"/>
      <c r="IL266" s="265"/>
      <c r="IM266" s="265"/>
      <c r="IN266" s="265"/>
      <c r="IO266" s="265"/>
      <c r="IP266" s="265"/>
      <c r="IQ266" s="265"/>
      <c r="IR266" s="265"/>
    </row>
    <row r="267" spans="1:27" s="207" customFormat="1" ht="24" customHeight="1">
      <c r="A267" s="234" t="s">
        <v>538</v>
      </c>
      <c r="B267" s="235"/>
      <c r="C267" s="235"/>
      <c r="D267" s="235"/>
      <c r="E267" s="235"/>
      <c r="F267" s="235"/>
      <c r="G267" s="235"/>
      <c r="H267" s="231" t="e">
        <f t="shared" si="84"/>
        <v>#DIV/0!</v>
      </c>
      <c r="I267" s="255"/>
      <c r="O267" s="251"/>
      <c r="P267" s="252"/>
      <c r="AA267" s="254">
        <f>F267-E267</f>
        <v>0</v>
      </c>
    </row>
    <row r="268" spans="1:27" s="207" customFormat="1" ht="24" customHeight="1">
      <c r="A268" s="275" t="s">
        <v>539</v>
      </c>
      <c r="B268" s="235">
        <f aca="true" t="shared" si="86" ref="B268:G268">SUM(B269)</f>
        <v>63</v>
      </c>
      <c r="C268" s="235">
        <f t="shared" si="86"/>
        <v>63</v>
      </c>
      <c r="D268" s="235">
        <f t="shared" si="86"/>
        <v>30</v>
      </c>
      <c r="E268" s="235">
        <f t="shared" si="86"/>
        <v>63</v>
      </c>
      <c r="F268" s="235">
        <f t="shared" si="86"/>
        <v>63</v>
      </c>
      <c r="G268" s="235">
        <f t="shared" si="86"/>
        <v>46</v>
      </c>
      <c r="H268" s="231">
        <f t="shared" si="84"/>
        <v>1</v>
      </c>
      <c r="I268" s="255"/>
      <c r="O268" s="251"/>
      <c r="P268" s="252"/>
      <c r="AA268" s="254"/>
    </row>
    <row r="269" spans="1:27" s="207" customFormat="1" ht="24" customHeight="1">
      <c r="A269" s="275" t="s">
        <v>540</v>
      </c>
      <c r="B269" s="235">
        <v>63</v>
      </c>
      <c r="C269" s="235">
        <v>63</v>
      </c>
      <c r="D269" s="235">
        <v>30</v>
      </c>
      <c r="E269" s="235">
        <v>63</v>
      </c>
      <c r="F269" s="235">
        <v>63</v>
      </c>
      <c r="G269" s="235">
        <v>46</v>
      </c>
      <c r="H269" s="231">
        <f t="shared" si="84"/>
        <v>1</v>
      </c>
      <c r="I269" s="255"/>
      <c r="O269" s="251"/>
      <c r="P269" s="252"/>
      <c r="AA269" s="254"/>
    </row>
    <row r="270" spans="1:27" s="207" customFormat="1" ht="27.75" customHeight="1">
      <c r="A270" s="234" t="s">
        <v>541</v>
      </c>
      <c r="B270" s="235">
        <f aca="true" t="shared" si="87" ref="B270:G270">SUM(B271)</f>
        <v>0</v>
      </c>
      <c r="C270" s="235">
        <f t="shared" si="87"/>
        <v>0</v>
      </c>
      <c r="D270" s="235">
        <f t="shared" si="87"/>
        <v>162</v>
      </c>
      <c r="E270" s="235">
        <f t="shared" si="87"/>
        <v>0</v>
      </c>
      <c r="F270" s="235">
        <f t="shared" si="87"/>
        <v>0</v>
      </c>
      <c r="G270" s="235">
        <f t="shared" si="87"/>
        <v>0</v>
      </c>
      <c r="H270" s="231" t="e">
        <f t="shared" si="84"/>
        <v>#DIV/0!</v>
      </c>
      <c r="I270" s="249"/>
      <c r="J270" s="250"/>
      <c r="O270" s="251"/>
      <c r="P270" s="252"/>
      <c r="AA270" s="254">
        <f aca="true" t="shared" si="88" ref="AA270:AA280">F270-E270</f>
        <v>0</v>
      </c>
    </row>
    <row r="271" spans="1:27" s="207" customFormat="1" ht="27.75" customHeight="1">
      <c r="A271" s="234" t="s">
        <v>542</v>
      </c>
      <c r="B271" s="235">
        <v>0</v>
      </c>
      <c r="C271" s="235">
        <v>0</v>
      </c>
      <c r="D271" s="235">
        <v>162</v>
      </c>
      <c r="E271" s="235">
        <v>0</v>
      </c>
      <c r="F271" s="235">
        <v>0</v>
      </c>
      <c r="G271" s="235"/>
      <c r="H271" s="231" t="e">
        <f t="shared" si="84"/>
        <v>#DIV/0!</v>
      </c>
      <c r="I271" s="255"/>
      <c r="O271" s="251"/>
      <c r="P271" s="252"/>
      <c r="AA271" s="254">
        <f t="shared" si="88"/>
        <v>0</v>
      </c>
    </row>
    <row r="272" spans="1:27" s="205" customFormat="1" ht="24" customHeight="1">
      <c r="A272" s="232" t="s">
        <v>543</v>
      </c>
      <c r="B272" s="233">
        <f aca="true" t="shared" si="89" ref="B272:G272">B273+B276+B281+B283+B286+B289</f>
        <v>417</v>
      </c>
      <c r="C272" s="233">
        <f t="shared" si="89"/>
        <v>417</v>
      </c>
      <c r="D272" s="233">
        <f t="shared" si="89"/>
        <v>256</v>
      </c>
      <c r="E272" s="233">
        <f t="shared" si="89"/>
        <v>402</v>
      </c>
      <c r="F272" s="233">
        <f t="shared" si="89"/>
        <v>402</v>
      </c>
      <c r="G272" s="233">
        <f t="shared" si="89"/>
        <v>933</v>
      </c>
      <c r="H272" s="231">
        <f t="shared" si="84"/>
        <v>0.9640287769784173</v>
      </c>
      <c r="I272" s="277"/>
      <c r="J272" s="246"/>
      <c r="O272" s="247"/>
      <c r="P272" s="248"/>
      <c r="Q272" s="261"/>
      <c r="R272" s="261"/>
      <c r="S272" s="261"/>
      <c r="AA272" s="263">
        <f t="shared" si="88"/>
        <v>0</v>
      </c>
    </row>
    <row r="273" spans="1:27" s="207" customFormat="1" ht="24" customHeight="1">
      <c r="A273" s="234" t="s">
        <v>544</v>
      </c>
      <c r="B273" s="235">
        <f aca="true" t="shared" si="90" ref="B273:G273">SUM(B274:B275)</f>
        <v>287</v>
      </c>
      <c r="C273" s="235">
        <f t="shared" si="90"/>
        <v>287</v>
      </c>
      <c r="D273" s="235">
        <f t="shared" si="90"/>
        <v>0</v>
      </c>
      <c r="E273" s="235">
        <f t="shared" si="90"/>
        <v>285</v>
      </c>
      <c r="F273" s="235">
        <f t="shared" si="90"/>
        <v>285</v>
      </c>
      <c r="G273" s="235">
        <f t="shared" si="90"/>
        <v>0</v>
      </c>
      <c r="H273" s="231">
        <f t="shared" si="84"/>
        <v>0.9930313588850174</v>
      </c>
      <c r="I273" s="249"/>
      <c r="J273" s="250"/>
      <c r="O273" s="251"/>
      <c r="P273" s="252"/>
      <c r="AA273" s="254">
        <f t="shared" si="88"/>
        <v>0</v>
      </c>
    </row>
    <row r="274" spans="1:27" s="207" customFormat="1" ht="24" customHeight="1">
      <c r="A274" s="234" t="s">
        <v>545</v>
      </c>
      <c r="B274" s="235">
        <v>287</v>
      </c>
      <c r="C274" s="235">
        <v>287</v>
      </c>
      <c r="D274" s="235"/>
      <c r="E274" s="235">
        <v>285</v>
      </c>
      <c r="F274" s="235">
        <f>274+11</f>
        <v>285</v>
      </c>
      <c r="G274" s="235"/>
      <c r="H274" s="231">
        <f t="shared" si="84"/>
        <v>0.9930313588850174</v>
      </c>
      <c r="I274" s="255"/>
      <c r="O274" s="251"/>
      <c r="P274" s="252"/>
      <c r="AA274" s="254">
        <f t="shared" si="88"/>
        <v>0</v>
      </c>
    </row>
    <row r="275" spans="1:27" s="207" customFormat="1" ht="29.25" customHeight="1">
      <c r="A275" s="234" t="s">
        <v>546</v>
      </c>
      <c r="B275" s="235"/>
      <c r="C275" s="235"/>
      <c r="D275" s="235"/>
      <c r="E275" s="235"/>
      <c r="F275" s="235"/>
      <c r="G275" s="235"/>
      <c r="H275" s="231" t="e">
        <f t="shared" si="84"/>
        <v>#DIV/0!</v>
      </c>
      <c r="I275" s="255"/>
      <c r="O275" s="251"/>
      <c r="P275" s="252"/>
      <c r="AA275" s="254">
        <f t="shared" si="88"/>
        <v>0</v>
      </c>
    </row>
    <row r="276" spans="1:252" s="207" customFormat="1" ht="24" customHeight="1">
      <c r="A276" s="234" t="s">
        <v>547</v>
      </c>
      <c r="B276" s="235">
        <f aca="true" t="shared" si="91" ref="B276:G276">SUM(B277:B280)</f>
        <v>130</v>
      </c>
      <c r="C276" s="235">
        <f t="shared" si="91"/>
        <v>130</v>
      </c>
      <c r="D276" s="235">
        <f t="shared" si="91"/>
        <v>0</v>
      </c>
      <c r="E276" s="235">
        <f t="shared" si="91"/>
        <v>117</v>
      </c>
      <c r="F276" s="235">
        <f t="shared" si="91"/>
        <v>117</v>
      </c>
      <c r="G276" s="235">
        <f t="shared" si="91"/>
        <v>0</v>
      </c>
      <c r="H276" s="231">
        <f t="shared" si="84"/>
        <v>0.9</v>
      </c>
      <c r="I276" s="255"/>
      <c r="J276" s="250"/>
      <c r="K276" s="254"/>
      <c r="L276" s="254"/>
      <c r="M276" s="254"/>
      <c r="N276" s="254"/>
      <c r="O276" s="251"/>
      <c r="P276" s="252"/>
      <c r="Q276" s="268"/>
      <c r="R276" s="268"/>
      <c r="S276" s="268"/>
      <c r="X276" s="262"/>
      <c r="Y276" s="262"/>
      <c r="Z276" s="262"/>
      <c r="AA276" s="254">
        <f t="shared" si="88"/>
        <v>0</v>
      </c>
      <c r="AB276" s="262"/>
      <c r="AC276" s="262"/>
      <c r="AD276" s="262"/>
      <c r="AE276" s="262"/>
      <c r="AF276" s="262"/>
      <c r="AG276" s="262"/>
      <c r="AH276" s="262"/>
      <c r="AI276" s="262"/>
      <c r="AJ276" s="262"/>
      <c r="AK276" s="262"/>
      <c r="AL276" s="262"/>
      <c r="AM276" s="262"/>
      <c r="AN276" s="262"/>
      <c r="AO276" s="262"/>
      <c r="AP276" s="262"/>
      <c r="AQ276" s="262"/>
      <c r="AR276" s="262"/>
      <c r="AS276" s="262"/>
      <c r="AT276" s="262"/>
      <c r="AU276" s="262"/>
      <c r="AV276" s="262"/>
      <c r="AW276" s="262"/>
      <c r="AX276" s="262"/>
      <c r="AY276" s="262"/>
      <c r="AZ276" s="262"/>
      <c r="BA276" s="262"/>
      <c r="BB276" s="262"/>
      <c r="BC276" s="262"/>
      <c r="BD276" s="262"/>
      <c r="BE276" s="262"/>
      <c r="BF276" s="262"/>
      <c r="BG276" s="262"/>
      <c r="BH276" s="262"/>
      <c r="BI276" s="262"/>
      <c r="BJ276" s="262"/>
      <c r="BK276" s="262"/>
      <c r="BL276" s="262"/>
      <c r="BM276" s="262"/>
      <c r="BN276" s="262"/>
      <c r="BO276" s="262"/>
      <c r="BP276" s="262"/>
      <c r="BQ276" s="262"/>
      <c r="BR276" s="262"/>
      <c r="BS276" s="262"/>
      <c r="BT276" s="262"/>
      <c r="BU276" s="262"/>
      <c r="BV276" s="262"/>
      <c r="BW276" s="262"/>
      <c r="BX276" s="262"/>
      <c r="BY276" s="262"/>
      <c r="BZ276" s="262"/>
      <c r="CA276" s="262"/>
      <c r="CB276" s="262"/>
      <c r="CC276" s="262"/>
      <c r="CD276" s="262"/>
      <c r="CE276" s="262"/>
      <c r="CF276" s="262"/>
      <c r="CG276" s="262"/>
      <c r="CH276" s="262"/>
      <c r="CI276" s="262"/>
      <c r="CJ276" s="262"/>
      <c r="CK276" s="262"/>
      <c r="CL276" s="262"/>
      <c r="CM276" s="262"/>
      <c r="CN276" s="262"/>
      <c r="CO276" s="262"/>
      <c r="CP276" s="262"/>
      <c r="CQ276" s="262"/>
      <c r="CR276" s="262"/>
      <c r="CS276" s="262"/>
      <c r="CT276" s="262"/>
      <c r="CU276" s="262"/>
      <c r="CV276" s="262"/>
      <c r="CW276" s="262"/>
      <c r="CX276" s="262"/>
      <c r="CY276" s="262"/>
      <c r="CZ276" s="262"/>
      <c r="DA276" s="262"/>
      <c r="DB276" s="262"/>
      <c r="DC276" s="262"/>
      <c r="DD276" s="262"/>
      <c r="DE276" s="262"/>
      <c r="DF276" s="262"/>
      <c r="DG276" s="262"/>
      <c r="DH276" s="262"/>
      <c r="DI276" s="262"/>
      <c r="DJ276" s="262"/>
      <c r="DK276" s="262"/>
      <c r="DL276" s="262"/>
      <c r="DM276" s="262"/>
      <c r="DN276" s="262"/>
      <c r="DO276" s="262"/>
      <c r="DP276" s="262"/>
      <c r="DQ276" s="262"/>
      <c r="DR276" s="262"/>
      <c r="DS276" s="262"/>
      <c r="DT276" s="262"/>
      <c r="DU276" s="262"/>
      <c r="DV276" s="262"/>
      <c r="DW276" s="262"/>
      <c r="DX276" s="262"/>
      <c r="DY276" s="262"/>
      <c r="DZ276" s="262"/>
      <c r="EA276" s="262"/>
      <c r="EB276" s="262"/>
      <c r="EC276" s="262"/>
      <c r="ED276" s="262"/>
      <c r="EE276" s="262"/>
      <c r="EF276" s="262"/>
      <c r="EG276" s="262"/>
      <c r="EH276" s="262"/>
      <c r="EI276" s="262"/>
      <c r="EJ276" s="262"/>
      <c r="EK276" s="262"/>
      <c r="EL276" s="262"/>
      <c r="EM276" s="262"/>
      <c r="EN276" s="262"/>
      <c r="EO276" s="262"/>
      <c r="EP276" s="262"/>
      <c r="EQ276" s="262"/>
      <c r="ER276" s="262"/>
      <c r="ES276" s="262"/>
      <c r="ET276" s="262"/>
      <c r="EU276" s="262"/>
      <c r="EV276" s="262"/>
      <c r="EW276" s="262"/>
      <c r="EX276" s="262"/>
      <c r="EY276" s="262"/>
      <c r="EZ276" s="262"/>
      <c r="FA276" s="262"/>
      <c r="FB276" s="262"/>
      <c r="FC276" s="262"/>
      <c r="FD276" s="262"/>
      <c r="FE276" s="262"/>
      <c r="FF276" s="262"/>
      <c r="FG276" s="262"/>
      <c r="FH276" s="262"/>
      <c r="FI276" s="262"/>
      <c r="FJ276" s="262"/>
      <c r="FK276" s="262"/>
      <c r="FL276" s="262"/>
      <c r="FM276" s="262"/>
      <c r="FN276" s="262"/>
      <c r="FO276" s="262"/>
      <c r="FP276" s="262"/>
      <c r="FQ276" s="262"/>
      <c r="FR276" s="262"/>
      <c r="FS276" s="262"/>
      <c r="FT276" s="262"/>
      <c r="FU276" s="262"/>
      <c r="FV276" s="262"/>
      <c r="FW276" s="262"/>
      <c r="FX276" s="262"/>
      <c r="FY276" s="262"/>
      <c r="FZ276" s="262"/>
      <c r="GA276" s="262"/>
      <c r="GB276" s="262"/>
      <c r="GC276" s="262"/>
      <c r="GD276" s="262"/>
      <c r="GE276" s="262"/>
      <c r="GF276" s="262"/>
      <c r="GG276" s="262"/>
      <c r="GH276" s="262"/>
      <c r="GI276" s="262"/>
      <c r="GJ276" s="262"/>
      <c r="GK276" s="262"/>
      <c r="GL276" s="262"/>
      <c r="GM276" s="262"/>
      <c r="GN276" s="262"/>
      <c r="GO276" s="262"/>
      <c r="GP276" s="262"/>
      <c r="GQ276" s="262"/>
      <c r="GR276" s="262"/>
      <c r="GS276" s="262"/>
      <c r="GT276" s="262"/>
      <c r="GU276" s="262"/>
      <c r="GV276" s="262"/>
      <c r="GW276" s="262"/>
      <c r="GX276" s="262"/>
      <c r="GY276" s="262"/>
      <c r="GZ276" s="262"/>
      <c r="HA276" s="262"/>
      <c r="HB276" s="262"/>
      <c r="HC276" s="262"/>
      <c r="HD276" s="262"/>
      <c r="HE276" s="262"/>
      <c r="HF276" s="262"/>
      <c r="HG276" s="262"/>
      <c r="HH276" s="262"/>
      <c r="HI276" s="262"/>
      <c r="HJ276" s="262"/>
      <c r="HK276" s="262"/>
      <c r="HL276" s="262"/>
      <c r="HM276" s="262"/>
      <c r="HN276" s="262"/>
      <c r="HO276" s="262"/>
      <c r="HP276" s="265"/>
      <c r="HQ276" s="265"/>
      <c r="HR276" s="265"/>
      <c r="HS276" s="265"/>
      <c r="HT276" s="265"/>
      <c r="HU276" s="265"/>
      <c r="HV276" s="265"/>
      <c r="HW276" s="265"/>
      <c r="HX276" s="265"/>
      <c r="HY276" s="265"/>
      <c r="HZ276" s="265"/>
      <c r="IA276" s="265"/>
      <c r="IB276" s="265"/>
      <c r="IC276" s="265"/>
      <c r="ID276" s="265"/>
      <c r="IE276" s="265"/>
      <c r="IF276" s="265"/>
      <c r="IG276" s="265"/>
      <c r="IH276" s="265"/>
      <c r="II276" s="265"/>
      <c r="IJ276" s="265"/>
      <c r="IK276" s="265"/>
      <c r="IL276" s="265"/>
      <c r="IM276" s="265"/>
      <c r="IN276" s="265"/>
      <c r="IO276" s="265"/>
      <c r="IP276" s="265"/>
      <c r="IQ276" s="265"/>
      <c r="IR276" s="265"/>
    </row>
    <row r="277" spans="1:27" s="207" customFormat="1" ht="24" customHeight="1">
      <c r="A277" s="234" t="s">
        <v>548</v>
      </c>
      <c r="B277" s="235"/>
      <c r="C277" s="235"/>
      <c r="D277" s="235"/>
      <c r="E277" s="235"/>
      <c r="F277" s="235"/>
      <c r="G277" s="235"/>
      <c r="H277" s="231" t="e">
        <f t="shared" si="84"/>
        <v>#DIV/0!</v>
      </c>
      <c r="I277" s="255"/>
      <c r="O277" s="251"/>
      <c r="P277" s="252"/>
      <c r="AA277" s="254">
        <f t="shared" si="88"/>
        <v>0</v>
      </c>
    </row>
    <row r="278" spans="1:27" s="207" customFormat="1" ht="24" customHeight="1">
      <c r="A278" s="234" t="s">
        <v>549</v>
      </c>
      <c r="B278" s="235"/>
      <c r="C278" s="235"/>
      <c r="D278" s="235"/>
      <c r="E278" s="235"/>
      <c r="F278" s="235"/>
      <c r="G278" s="235"/>
      <c r="H278" s="231" t="e">
        <f t="shared" si="84"/>
        <v>#DIV/0!</v>
      </c>
      <c r="I278" s="255"/>
      <c r="O278" s="251"/>
      <c r="P278" s="252"/>
      <c r="AA278" s="254">
        <f t="shared" si="88"/>
        <v>0</v>
      </c>
    </row>
    <row r="279" spans="1:27" s="207" customFormat="1" ht="24" customHeight="1">
      <c r="A279" s="234" t="s">
        <v>550</v>
      </c>
      <c r="B279" s="235">
        <v>130</v>
      </c>
      <c r="C279" s="235">
        <v>130</v>
      </c>
      <c r="D279" s="235"/>
      <c r="E279" s="235">
        <v>117</v>
      </c>
      <c r="F279" s="235">
        <v>117</v>
      </c>
      <c r="G279" s="235"/>
      <c r="H279" s="231">
        <f t="shared" si="84"/>
        <v>0.9</v>
      </c>
      <c r="I279" s="255"/>
      <c r="O279" s="251"/>
      <c r="AA279" s="254">
        <f t="shared" si="88"/>
        <v>0</v>
      </c>
    </row>
    <row r="280" spans="1:252" s="207" customFormat="1" ht="24" customHeight="1">
      <c r="A280" s="234" t="s">
        <v>551</v>
      </c>
      <c r="B280" s="235"/>
      <c r="C280" s="235"/>
      <c r="D280" s="235"/>
      <c r="E280" s="235"/>
      <c r="F280" s="235"/>
      <c r="G280" s="235"/>
      <c r="H280" s="231" t="e">
        <f t="shared" si="84"/>
        <v>#DIV/0!</v>
      </c>
      <c r="I280" s="255"/>
      <c r="J280" s="254"/>
      <c r="K280" s="254"/>
      <c r="L280" s="254"/>
      <c r="M280" s="254"/>
      <c r="N280" s="254"/>
      <c r="O280" s="251"/>
      <c r="P280" s="252"/>
      <c r="X280" s="262"/>
      <c r="Y280" s="262"/>
      <c r="Z280" s="262"/>
      <c r="AA280" s="254">
        <f t="shared" si="88"/>
        <v>0</v>
      </c>
      <c r="AB280" s="262"/>
      <c r="AC280" s="262"/>
      <c r="AD280" s="262"/>
      <c r="AE280" s="262"/>
      <c r="AF280" s="262"/>
      <c r="AG280" s="262"/>
      <c r="AH280" s="262"/>
      <c r="AI280" s="262"/>
      <c r="AJ280" s="262"/>
      <c r="AK280" s="262"/>
      <c r="AL280" s="262"/>
      <c r="AM280" s="262"/>
      <c r="AN280" s="262"/>
      <c r="AO280" s="262"/>
      <c r="AP280" s="262"/>
      <c r="AQ280" s="262"/>
      <c r="AR280" s="262"/>
      <c r="AS280" s="262"/>
      <c r="AT280" s="262"/>
      <c r="AU280" s="262"/>
      <c r="AV280" s="262"/>
      <c r="AW280" s="262"/>
      <c r="AX280" s="262"/>
      <c r="AY280" s="262"/>
      <c r="AZ280" s="262"/>
      <c r="BA280" s="262"/>
      <c r="BB280" s="262"/>
      <c r="BC280" s="262"/>
      <c r="BD280" s="262"/>
      <c r="BE280" s="262"/>
      <c r="BF280" s="262"/>
      <c r="BG280" s="262"/>
      <c r="BH280" s="262"/>
      <c r="BI280" s="262"/>
      <c r="BJ280" s="262"/>
      <c r="BK280" s="262"/>
      <c r="BL280" s="262"/>
      <c r="BM280" s="262"/>
      <c r="BN280" s="262"/>
      <c r="BO280" s="262"/>
      <c r="BP280" s="262"/>
      <c r="BQ280" s="262"/>
      <c r="BR280" s="262"/>
      <c r="BS280" s="262"/>
      <c r="BT280" s="262"/>
      <c r="BU280" s="262"/>
      <c r="BV280" s="262"/>
      <c r="BW280" s="262"/>
      <c r="BX280" s="262"/>
      <c r="BY280" s="262"/>
      <c r="BZ280" s="262"/>
      <c r="CA280" s="262"/>
      <c r="CB280" s="262"/>
      <c r="CC280" s="262"/>
      <c r="CD280" s="262"/>
      <c r="CE280" s="262"/>
      <c r="CF280" s="262"/>
      <c r="CG280" s="262"/>
      <c r="CH280" s="262"/>
      <c r="CI280" s="262"/>
      <c r="CJ280" s="262"/>
      <c r="CK280" s="262"/>
      <c r="CL280" s="262"/>
      <c r="CM280" s="262"/>
      <c r="CN280" s="262"/>
      <c r="CO280" s="262"/>
      <c r="CP280" s="262"/>
      <c r="CQ280" s="262"/>
      <c r="CR280" s="262"/>
      <c r="CS280" s="262"/>
      <c r="CT280" s="262"/>
      <c r="CU280" s="262"/>
      <c r="CV280" s="262"/>
      <c r="CW280" s="262"/>
      <c r="CX280" s="262"/>
      <c r="CY280" s="262"/>
      <c r="CZ280" s="262"/>
      <c r="DA280" s="262"/>
      <c r="DB280" s="262"/>
      <c r="DC280" s="262"/>
      <c r="DD280" s="262"/>
      <c r="DE280" s="262"/>
      <c r="DF280" s="262"/>
      <c r="DG280" s="262"/>
      <c r="DH280" s="262"/>
      <c r="DI280" s="262"/>
      <c r="DJ280" s="262"/>
      <c r="DK280" s="262"/>
      <c r="DL280" s="262"/>
      <c r="DM280" s="262"/>
      <c r="DN280" s="262"/>
      <c r="DO280" s="262"/>
      <c r="DP280" s="262"/>
      <c r="DQ280" s="262"/>
      <c r="DR280" s="262"/>
      <c r="DS280" s="262"/>
      <c r="DT280" s="262"/>
      <c r="DU280" s="262"/>
      <c r="DV280" s="262"/>
      <c r="DW280" s="262"/>
      <c r="DX280" s="262"/>
      <c r="DY280" s="262"/>
      <c r="DZ280" s="262"/>
      <c r="EA280" s="262"/>
      <c r="EB280" s="262"/>
      <c r="EC280" s="262"/>
      <c r="ED280" s="262"/>
      <c r="EE280" s="262"/>
      <c r="EF280" s="262"/>
      <c r="EG280" s="262"/>
      <c r="EH280" s="262"/>
      <c r="EI280" s="262"/>
      <c r="EJ280" s="262"/>
      <c r="EK280" s="262"/>
      <c r="EL280" s="262"/>
      <c r="EM280" s="262"/>
      <c r="EN280" s="262"/>
      <c r="EO280" s="262"/>
      <c r="EP280" s="262"/>
      <c r="EQ280" s="262"/>
      <c r="ER280" s="262"/>
      <c r="ES280" s="262"/>
      <c r="ET280" s="262"/>
      <c r="EU280" s="262"/>
      <c r="EV280" s="262"/>
      <c r="EW280" s="262"/>
      <c r="EX280" s="262"/>
      <c r="EY280" s="262"/>
      <c r="EZ280" s="262"/>
      <c r="FA280" s="262"/>
      <c r="FB280" s="262"/>
      <c r="FC280" s="262"/>
      <c r="FD280" s="262"/>
      <c r="FE280" s="262"/>
      <c r="FF280" s="262"/>
      <c r="FG280" s="262"/>
      <c r="FH280" s="262"/>
      <c r="FI280" s="262"/>
      <c r="FJ280" s="262"/>
      <c r="FK280" s="262"/>
      <c r="FL280" s="262"/>
      <c r="FM280" s="262"/>
      <c r="FN280" s="262"/>
      <c r="FO280" s="262"/>
      <c r="FP280" s="262"/>
      <c r="FQ280" s="262"/>
      <c r="FR280" s="262"/>
      <c r="FS280" s="262"/>
      <c r="FT280" s="262"/>
      <c r="FU280" s="262"/>
      <c r="FV280" s="262"/>
      <c r="FW280" s="262"/>
      <c r="FX280" s="262"/>
      <c r="FY280" s="262"/>
      <c r="FZ280" s="262"/>
      <c r="GA280" s="262"/>
      <c r="GB280" s="262"/>
      <c r="GC280" s="262"/>
      <c r="GD280" s="262"/>
      <c r="GE280" s="262"/>
      <c r="GF280" s="262"/>
      <c r="GG280" s="262"/>
      <c r="GH280" s="262"/>
      <c r="GI280" s="262"/>
      <c r="GJ280" s="262"/>
      <c r="GK280" s="262"/>
      <c r="GL280" s="262"/>
      <c r="GM280" s="262"/>
      <c r="GN280" s="262"/>
      <c r="GO280" s="262"/>
      <c r="GP280" s="262"/>
      <c r="GQ280" s="262"/>
      <c r="GR280" s="262"/>
      <c r="GS280" s="262"/>
      <c r="GT280" s="262"/>
      <c r="GU280" s="262"/>
      <c r="GV280" s="262"/>
      <c r="GW280" s="262"/>
      <c r="GX280" s="262"/>
      <c r="GY280" s="262"/>
      <c r="GZ280" s="262"/>
      <c r="HA280" s="262"/>
      <c r="HB280" s="262"/>
      <c r="HC280" s="262"/>
      <c r="HD280" s="262"/>
      <c r="HE280" s="262"/>
      <c r="HF280" s="262"/>
      <c r="HG280" s="262"/>
      <c r="HH280" s="262"/>
      <c r="HI280" s="262"/>
      <c r="HJ280" s="262"/>
      <c r="HK280" s="262"/>
      <c r="HL280" s="262"/>
      <c r="HM280" s="262"/>
      <c r="HN280" s="262"/>
      <c r="HO280" s="262"/>
      <c r="HP280" s="265"/>
      <c r="HQ280" s="265"/>
      <c r="HR280" s="265"/>
      <c r="HS280" s="265"/>
      <c r="HT280" s="265"/>
      <c r="HU280" s="265"/>
      <c r="HV280" s="265"/>
      <c r="HW280" s="265"/>
      <c r="HX280" s="265"/>
      <c r="HY280" s="265"/>
      <c r="HZ280" s="265"/>
      <c r="IA280" s="265"/>
      <c r="IB280" s="265"/>
      <c r="IC280" s="265"/>
      <c r="ID280" s="265"/>
      <c r="IE280" s="265"/>
      <c r="IF280" s="265"/>
      <c r="IG280" s="265"/>
      <c r="IH280" s="265"/>
      <c r="II280" s="265"/>
      <c r="IJ280" s="265"/>
      <c r="IK280" s="265"/>
      <c r="IL280" s="265"/>
      <c r="IM280" s="265"/>
      <c r="IN280" s="265"/>
      <c r="IO280" s="265"/>
      <c r="IP280" s="265"/>
      <c r="IQ280" s="265"/>
      <c r="IR280" s="265"/>
    </row>
    <row r="281" spans="1:252" s="207" customFormat="1" ht="24" customHeight="1">
      <c r="A281" s="276" t="s">
        <v>552</v>
      </c>
      <c r="B281" s="235"/>
      <c r="C281" s="235">
        <f>SUM(C282)</f>
        <v>0</v>
      </c>
      <c r="D281" s="235">
        <f>SUM(D282)</f>
        <v>5</v>
      </c>
      <c r="E281" s="235"/>
      <c r="F281" s="235">
        <f>SUM(F282)</f>
        <v>0</v>
      </c>
      <c r="G281" s="235">
        <f>SUM(G282)</f>
        <v>7</v>
      </c>
      <c r="H281" s="231" t="e">
        <f t="shared" si="84"/>
        <v>#DIV/0!</v>
      </c>
      <c r="I281" s="255"/>
      <c r="J281" s="254"/>
      <c r="K281" s="254"/>
      <c r="L281" s="254"/>
      <c r="M281" s="254"/>
      <c r="N281" s="254"/>
      <c r="O281" s="251"/>
      <c r="P281" s="252"/>
      <c r="X281" s="262"/>
      <c r="Y281" s="262"/>
      <c r="Z281" s="262"/>
      <c r="AA281" s="254"/>
      <c r="AB281" s="262"/>
      <c r="AC281" s="262"/>
      <c r="AD281" s="262"/>
      <c r="AE281" s="262"/>
      <c r="AF281" s="262"/>
      <c r="AG281" s="262"/>
      <c r="AH281" s="262"/>
      <c r="AI281" s="262"/>
      <c r="AJ281" s="262"/>
      <c r="AK281" s="262"/>
      <c r="AL281" s="262"/>
      <c r="AM281" s="262"/>
      <c r="AN281" s="262"/>
      <c r="AO281" s="262"/>
      <c r="AP281" s="262"/>
      <c r="AQ281" s="262"/>
      <c r="AR281" s="262"/>
      <c r="AS281" s="262"/>
      <c r="AT281" s="262"/>
      <c r="AU281" s="262"/>
      <c r="AV281" s="262"/>
      <c r="AW281" s="262"/>
      <c r="AX281" s="262"/>
      <c r="AY281" s="262"/>
      <c r="AZ281" s="262"/>
      <c r="BA281" s="262"/>
      <c r="BB281" s="262"/>
      <c r="BC281" s="262"/>
      <c r="BD281" s="262"/>
      <c r="BE281" s="262"/>
      <c r="BF281" s="262"/>
      <c r="BG281" s="262"/>
      <c r="BH281" s="262"/>
      <c r="BI281" s="262"/>
      <c r="BJ281" s="262"/>
      <c r="BK281" s="262"/>
      <c r="BL281" s="262"/>
      <c r="BM281" s="262"/>
      <c r="BN281" s="262"/>
      <c r="BO281" s="262"/>
      <c r="BP281" s="262"/>
      <c r="BQ281" s="262"/>
      <c r="BR281" s="262"/>
      <c r="BS281" s="262"/>
      <c r="BT281" s="262"/>
      <c r="BU281" s="262"/>
      <c r="BV281" s="262"/>
      <c r="BW281" s="262"/>
      <c r="BX281" s="262"/>
      <c r="BY281" s="262"/>
      <c r="BZ281" s="262"/>
      <c r="CA281" s="262"/>
      <c r="CB281" s="262"/>
      <c r="CC281" s="262"/>
      <c r="CD281" s="262"/>
      <c r="CE281" s="262"/>
      <c r="CF281" s="262"/>
      <c r="CG281" s="262"/>
      <c r="CH281" s="262"/>
      <c r="CI281" s="262"/>
      <c r="CJ281" s="262"/>
      <c r="CK281" s="262"/>
      <c r="CL281" s="262"/>
      <c r="CM281" s="262"/>
      <c r="CN281" s="262"/>
      <c r="CO281" s="262"/>
      <c r="CP281" s="262"/>
      <c r="CQ281" s="262"/>
      <c r="CR281" s="262"/>
      <c r="CS281" s="262"/>
      <c r="CT281" s="262"/>
      <c r="CU281" s="262"/>
      <c r="CV281" s="262"/>
      <c r="CW281" s="262"/>
      <c r="CX281" s="262"/>
      <c r="CY281" s="262"/>
      <c r="CZ281" s="262"/>
      <c r="DA281" s="262"/>
      <c r="DB281" s="262"/>
      <c r="DC281" s="262"/>
      <c r="DD281" s="262"/>
      <c r="DE281" s="262"/>
      <c r="DF281" s="262"/>
      <c r="DG281" s="262"/>
      <c r="DH281" s="262"/>
      <c r="DI281" s="262"/>
      <c r="DJ281" s="262"/>
      <c r="DK281" s="262"/>
      <c r="DL281" s="262"/>
      <c r="DM281" s="262"/>
      <c r="DN281" s="262"/>
      <c r="DO281" s="262"/>
      <c r="DP281" s="262"/>
      <c r="DQ281" s="262"/>
      <c r="DR281" s="262"/>
      <c r="DS281" s="262"/>
      <c r="DT281" s="262"/>
      <c r="DU281" s="262"/>
      <c r="DV281" s="262"/>
      <c r="DW281" s="262"/>
      <c r="DX281" s="262"/>
      <c r="DY281" s="262"/>
      <c r="DZ281" s="262"/>
      <c r="EA281" s="262"/>
      <c r="EB281" s="262"/>
      <c r="EC281" s="262"/>
      <c r="ED281" s="262"/>
      <c r="EE281" s="262"/>
      <c r="EF281" s="262"/>
      <c r="EG281" s="262"/>
      <c r="EH281" s="262"/>
      <c r="EI281" s="262"/>
      <c r="EJ281" s="262"/>
      <c r="EK281" s="262"/>
      <c r="EL281" s="262"/>
      <c r="EM281" s="262"/>
      <c r="EN281" s="262"/>
      <c r="EO281" s="262"/>
      <c r="EP281" s="262"/>
      <c r="EQ281" s="262"/>
      <c r="ER281" s="262"/>
      <c r="ES281" s="262"/>
      <c r="ET281" s="262"/>
      <c r="EU281" s="262"/>
      <c r="EV281" s="262"/>
      <c r="EW281" s="262"/>
      <c r="EX281" s="262"/>
      <c r="EY281" s="262"/>
      <c r="EZ281" s="262"/>
      <c r="FA281" s="262"/>
      <c r="FB281" s="262"/>
      <c r="FC281" s="262"/>
      <c r="FD281" s="262"/>
      <c r="FE281" s="262"/>
      <c r="FF281" s="262"/>
      <c r="FG281" s="262"/>
      <c r="FH281" s="262"/>
      <c r="FI281" s="262"/>
      <c r="FJ281" s="262"/>
      <c r="FK281" s="262"/>
      <c r="FL281" s="262"/>
      <c r="FM281" s="262"/>
      <c r="FN281" s="262"/>
      <c r="FO281" s="262"/>
      <c r="FP281" s="262"/>
      <c r="FQ281" s="262"/>
      <c r="FR281" s="262"/>
      <c r="FS281" s="262"/>
      <c r="FT281" s="262"/>
      <c r="FU281" s="262"/>
      <c r="FV281" s="262"/>
      <c r="FW281" s="262"/>
      <c r="FX281" s="262"/>
      <c r="FY281" s="262"/>
      <c r="FZ281" s="262"/>
      <c r="GA281" s="262"/>
      <c r="GB281" s="262"/>
      <c r="GC281" s="262"/>
      <c r="GD281" s="262"/>
      <c r="GE281" s="262"/>
      <c r="GF281" s="262"/>
      <c r="GG281" s="262"/>
      <c r="GH281" s="262"/>
      <c r="GI281" s="262"/>
      <c r="GJ281" s="262"/>
      <c r="GK281" s="262"/>
      <c r="GL281" s="262"/>
      <c r="GM281" s="262"/>
      <c r="GN281" s="262"/>
      <c r="GO281" s="262"/>
      <c r="GP281" s="262"/>
      <c r="GQ281" s="262"/>
      <c r="GR281" s="262"/>
      <c r="GS281" s="262"/>
      <c r="GT281" s="262"/>
      <c r="GU281" s="262"/>
      <c r="GV281" s="262"/>
      <c r="GW281" s="262"/>
      <c r="GX281" s="262"/>
      <c r="GY281" s="262"/>
      <c r="GZ281" s="262"/>
      <c r="HA281" s="262"/>
      <c r="HB281" s="262"/>
      <c r="HC281" s="262"/>
      <c r="HD281" s="262"/>
      <c r="HE281" s="262"/>
      <c r="HF281" s="262"/>
      <c r="HG281" s="262"/>
      <c r="HH281" s="262"/>
      <c r="HI281" s="262"/>
      <c r="HJ281" s="262"/>
      <c r="HK281" s="262"/>
      <c r="HL281" s="262"/>
      <c r="HM281" s="262"/>
      <c r="HN281" s="262"/>
      <c r="HO281" s="262"/>
      <c r="HP281" s="265"/>
      <c r="HQ281" s="265"/>
      <c r="HR281" s="265"/>
      <c r="HS281" s="265"/>
      <c r="HT281" s="265"/>
      <c r="HU281" s="265"/>
      <c r="HV281" s="265"/>
      <c r="HW281" s="265"/>
      <c r="HX281" s="265"/>
      <c r="HY281" s="265"/>
      <c r="HZ281" s="265"/>
      <c r="IA281" s="265"/>
      <c r="IB281" s="265"/>
      <c r="IC281" s="265"/>
      <c r="ID281" s="265"/>
      <c r="IE281" s="265"/>
      <c r="IF281" s="265"/>
      <c r="IG281" s="265"/>
      <c r="IH281" s="265"/>
      <c r="II281" s="265"/>
      <c r="IJ281" s="265"/>
      <c r="IK281" s="265"/>
      <c r="IL281" s="265"/>
      <c r="IM281" s="265"/>
      <c r="IN281" s="265"/>
      <c r="IO281" s="265"/>
      <c r="IP281" s="265"/>
      <c r="IQ281" s="265"/>
      <c r="IR281" s="265"/>
    </row>
    <row r="282" spans="1:252" s="207" customFormat="1" ht="24" customHeight="1">
      <c r="A282" s="276" t="s">
        <v>553</v>
      </c>
      <c r="B282" s="235"/>
      <c r="C282" s="235"/>
      <c r="D282" s="235">
        <v>5</v>
      </c>
      <c r="E282" s="235"/>
      <c r="F282" s="235"/>
      <c r="G282" s="235">
        <v>7</v>
      </c>
      <c r="H282" s="231" t="e">
        <f t="shared" si="84"/>
        <v>#DIV/0!</v>
      </c>
      <c r="I282" s="255"/>
      <c r="J282" s="254"/>
      <c r="K282" s="254"/>
      <c r="L282" s="254"/>
      <c r="M282" s="254"/>
      <c r="N282" s="254"/>
      <c r="O282" s="251"/>
      <c r="P282" s="252"/>
      <c r="X282" s="262"/>
      <c r="Y282" s="262"/>
      <c r="Z282" s="262"/>
      <c r="AA282" s="254"/>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c r="DF282" s="262"/>
      <c r="DG282" s="262"/>
      <c r="DH282" s="262"/>
      <c r="DI282" s="262"/>
      <c r="DJ282" s="262"/>
      <c r="DK282" s="262"/>
      <c r="DL282" s="262"/>
      <c r="DM282" s="262"/>
      <c r="DN282" s="262"/>
      <c r="DO282" s="262"/>
      <c r="DP282" s="262"/>
      <c r="DQ282" s="262"/>
      <c r="DR282" s="262"/>
      <c r="DS282" s="262"/>
      <c r="DT282" s="262"/>
      <c r="DU282" s="262"/>
      <c r="DV282" s="262"/>
      <c r="DW282" s="262"/>
      <c r="DX282" s="262"/>
      <c r="DY282" s="262"/>
      <c r="DZ282" s="262"/>
      <c r="EA282" s="262"/>
      <c r="EB282" s="262"/>
      <c r="EC282" s="262"/>
      <c r="ED282" s="262"/>
      <c r="EE282" s="262"/>
      <c r="EF282" s="262"/>
      <c r="EG282" s="262"/>
      <c r="EH282" s="262"/>
      <c r="EI282" s="262"/>
      <c r="EJ282" s="262"/>
      <c r="EK282" s="262"/>
      <c r="EL282" s="262"/>
      <c r="EM282" s="262"/>
      <c r="EN282" s="262"/>
      <c r="EO282" s="262"/>
      <c r="EP282" s="262"/>
      <c r="EQ282" s="262"/>
      <c r="ER282" s="262"/>
      <c r="ES282" s="262"/>
      <c r="ET282" s="262"/>
      <c r="EU282" s="262"/>
      <c r="EV282" s="262"/>
      <c r="EW282" s="262"/>
      <c r="EX282" s="262"/>
      <c r="EY282" s="262"/>
      <c r="EZ282" s="262"/>
      <c r="FA282" s="262"/>
      <c r="FB282" s="262"/>
      <c r="FC282" s="262"/>
      <c r="FD282" s="262"/>
      <c r="FE282" s="262"/>
      <c r="FF282" s="262"/>
      <c r="FG282" s="262"/>
      <c r="FH282" s="262"/>
      <c r="FI282" s="262"/>
      <c r="FJ282" s="262"/>
      <c r="FK282" s="262"/>
      <c r="FL282" s="262"/>
      <c r="FM282" s="262"/>
      <c r="FN282" s="262"/>
      <c r="FO282" s="262"/>
      <c r="FP282" s="262"/>
      <c r="FQ282" s="262"/>
      <c r="FR282" s="262"/>
      <c r="FS282" s="262"/>
      <c r="FT282" s="262"/>
      <c r="FU282" s="262"/>
      <c r="FV282" s="262"/>
      <c r="FW282" s="262"/>
      <c r="FX282" s="262"/>
      <c r="FY282" s="262"/>
      <c r="FZ282" s="262"/>
      <c r="GA282" s="262"/>
      <c r="GB282" s="262"/>
      <c r="GC282" s="262"/>
      <c r="GD282" s="262"/>
      <c r="GE282" s="262"/>
      <c r="GF282" s="262"/>
      <c r="GG282" s="262"/>
      <c r="GH282" s="262"/>
      <c r="GI282" s="262"/>
      <c r="GJ282" s="262"/>
      <c r="GK282" s="262"/>
      <c r="GL282" s="262"/>
      <c r="GM282" s="262"/>
      <c r="GN282" s="262"/>
      <c r="GO282" s="262"/>
      <c r="GP282" s="262"/>
      <c r="GQ282" s="262"/>
      <c r="GR282" s="262"/>
      <c r="GS282" s="262"/>
      <c r="GT282" s="262"/>
      <c r="GU282" s="262"/>
      <c r="GV282" s="262"/>
      <c r="GW282" s="262"/>
      <c r="GX282" s="262"/>
      <c r="GY282" s="262"/>
      <c r="GZ282" s="262"/>
      <c r="HA282" s="262"/>
      <c r="HB282" s="262"/>
      <c r="HC282" s="262"/>
      <c r="HD282" s="262"/>
      <c r="HE282" s="262"/>
      <c r="HF282" s="262"/>
      <c r="HG282" s="262"/>
      <c r="HH282" s="262"/>
      <c r="HI282" s="262"/>
      <c r="HJ282" s="262"/>
      <c r="HK282" s="262"/>
      <c r="HL282" s="262"/>
      <c r="HM282" s="262"/>
      <c r="HN282" s="262"/>
      <c r="HO282" s="262"/>
      <c r="HP282" s="265"/>
      <c r="HQ282" s="265"/>
      <c r="HR282" s="265"/>
      <c r="HS282" s="265"/>
      <c r="HT282" s="265"/>
      <c r="HU282" s="265"/>
      <c r="HV282" s="265"/>
      <c r="HW282" s="265"/>
      <c r="HX282" s="265"/>
      <c r="HY282" s="265"/>
      <c r="HZ282" s="265"/>
      <c r="IA282" s="265"/>
      <c r="IB282" s="265"/>
      <c r="IC282" s="265"/>
      <c r="ID282" s="265"/>
      <c r="IE282" s="265"/>
      <c r="IF282" s="265"/>
      <c r="IG282" s="265"/>
      <c r="IH282" s="265"/>
      <c r="II282" s="265"/>
      <c r="IJ282" s="265"/>
      <c r="IK282" s="265"/>
      <c r="IL282" s="265"/>
      <c r="IM282" s="265"/>
      <c r="IN282" s="265"/>
      <c r="IO282" s="265"/>
      <c r="IP282" s="265"/>
      <c r="IQ282" s="265"/>
      <c r="IR282" s="265"/>
    </row>
    <row r="283" spans="1:252" s="207" customFormat="1" ht="24" customHeight="1">
      <c r="A283" s="276" t="s">
        <v>554</v>
      </c>
      <c r="B283" s="235"/>
      <c r="C283" s="235">
        <f>SUM(C284:C285)</f>
        <v>0</v>
      </c>
      <c r="D283" s="235">
        <f>SUM(D284:D285)</f>
        <v>251</v>
      </c>
      <c r="E283" s="235">
        <f>SUM(E284:E285)</f>
        <v>0</v>
      </c>
      <c r="F283" s="235">
        <f>SUM(F284:F285)</f>
        <v>0</v>
      </c>
      <c r="G283" s="235">
        <f>SUM(G284:G285)</f>
        <v>926</v>
      </c>
      <c r="H283" s="231" t="e">
        <f t="shared" si="84"/>
        <v>#DIV/0!</v>
      </c>
      <c r="I283" s="255"/>
      <c r="J283" s="254"/>
      <c r="K283" s="254"/>
      <c r="L283" s="254"/>
      <c r="M283" s="254"/>
      <c r="N283" s="254"/>
      <c r="O283" s="251"/>
      <c r="P283" s="252"/>
      <c r="X283" s="262"/>
      <c r="Y283" s="262"/>
      <c r="Z283" s="262"/>
      <c r="AA283" s="254"/>
      <c r="AB283" s="262"/>
      <c r="AC283" s="262"/>
      <c r="AD283" s="262"/>
      <c r="AE283" s="262"/>
      <c r="AF283" s="262"/>
      <c r="AG283" s="262"/>
      <c r="AH283" s="262"/>
      <c r="AI283" s="262"/>
      <c r="AJ283" s="262"/>
      <c r="AK283" s="262"/>
      <c r="AL283" s="262"/>
      <c r="AM283" s="262"/>
      <c r="AN283" s="262"/>
      <c r="AO283" s="262"/>
      <c r="AP283" s="262"/>
      <c r="AQ283" s="262"/>
      <c r="AR283" s="262"/>
      <c r="AS283" s="262"/>
      <c r="AT283" s="262"/>
      <c r="AU283" s="262"/>
      <c r="AV283" s="262"/>
      <c r="AW283" s="262"/>
      <c r="AX283" s="262"/>
      <c r="AY283" s="262"/>
      <c r="AZ283" s="262"/>
      <c r="BA283" s="262"/>
      <c r="BB283" s="262"/>
      <c r="BC283" s="262"/>
      <c r="BD283" s="262"/>
      <c r="BE283" s="262"/>
      <c r="BF283" s="262"/>
      <c r="BG283" s="262"/>
      <c r="BH283" s="262"/>
      <c r="BI283" s="262"/>
      <c r="BJ283" s="262"/>
      <c r="BK283" s="262"/>
      <c r="BL283" s="262"/>
      <c r="BM283" s="262"/>
      <c r="BN283" s="262"/>
      <c r="BO283" s="262"/>
      <c r="BP283" s="262"/>
      <c r="BQ283" s="262"/>
      <c r="BR283" s="262"/>
      <c r="BS283" s="262"/>
      <c r="BT283" s="262"/>
      <c r="BU283" s="262"/>
      <c r="BV283" s="262"/>
      <c r="BW283" s="262"/>
      <c r="BX283" s="262"/>
      <c r="BY283" s="262"/>
      <c r="BZ283" s="262"/>
      <c r="CA283" s="262"/>
      <c r="CB283" s="262"/>
      <c r="CC283" s="262"/>
      <c r="CD283" s="262"/>
      <c r="CE283" s="262"/>
      <c r="CF283" s="262"/>
      <c r="CG283" s="262"/>
      <c r="CH283" s="262"/>
      <c r="CI283" s="262"/>
      <c r="CJ283" s="262"/>
      <c r="CK283" s="262"/>
      <c r="CL283" s="262"/>
      <c r="CM283" s="262"/>
      <c r="CN283" s="262"/>
      <c r="CO283" s="262"/>
      <c r="CP283" s="262"/>
      <c r="CQ283" s="262"/>
      <c r="CR283" s="262"/>
      <c r="CS283" s="262"/>
      <c r="CT283" s="262"/>
      <c r="CU283" s="262"/>
      <c r="CV283" s="262"/>
      <c r="CW283" s="262"/>
      <c r="CX283" s="262"/>
      <c r="CY283" s="262"/>
      <c r="CZ283" s="262"/>
      <c r="DA283" s="262"/>
      <c r="DB283" s="262"/>
      <c r="DC283" s="262"/>
      <c r="DD283" s="262"/>
      <c r="DE283" s="262"/>
      <c r="DF283" s="262"/>
      <c r="DG283" s="262"/>
      <c r="DH283" s="262"/>
      <c r="DI283" s="262"/>
      <c r="DJ283" s="262"/>
      <c r="DK283" s="262"/>
      <c r="DL283" s="262"/>
      <c r="DM283" s="262"/>
      <c r="DN283" s="262"/>
      <c r="DO283" s="262"/>
      <c r="DP283" s="262"/>
      <c r="DQ283" s="262"/>
      <c r="DR283" s="262"/>
      <c r="DS283" s="262"/>
      <c r="DT283" s="262"/>
      <c r="DU283" s="262"/>
      <c r="DV283" s="262"/>
      <c r="DW283" s="262"/>
      <c r="DX283" s="262"/>
      <c r="DY283" s="262"/>
      <c r="DZ283" s="262"/>
      <c r="EA283" s="262"/>
      <c r="EB283" s="262"/>
      <c r="EC283" s="262"/>
      <c r="ED283" s="262"/>
      <c r="EE283" s="262"/>
      <c r="EF283" s="262"/>
      <c r="EG283" s="262"/>
      <c r="EH283" s="262"/>
      <c r="EI283" s="262"/>
      <c r="EJ283" s="262"/>
      <c r="EK283" s="262"/>
      <c r="EL283" s="262"/>
      <c r="EM283" s="262"/>
      <c r="EN283" s="262"/>
      <c r="EO283" s="262"/>
      <c r="EP283" s="262"/>
      <c r="EQ283" s="262"/>
      <c r="ER283" s="262"/>
      <c r="ES283" s="262"/>
      <c r="ET283" s="262"/>
      <c r="EU283" s="262"/>
      <c r="EV283" s="262"/>
      <c r="EW283" s="262"/>
      <c r="EX283" s="262"/>
      <c r="EY283" s="262"/>
      <c r="EZ283" s="262"/>
      <c r="FA283" s="262"/>
      <c r="FB283" s="262"/>
      <c r="FC283" s="262"/>
      <c r="FD283" s="262"/>
      <c r="FE283" s="262"/>
      <c r="FF283" s="262"/>
      <c r="FG283" s="262"/>
      <c r="FH283" s="262"/>
      <c r="FI283" s="262"/>
      <c r="FJ283" s="262"/>
      <c r="FK283" s="262"/>
      <c r="FL283" s="262"/>
      <c r="FM283" s="262"/>
      <c r="FN283" s="262"/>
      <c r="FO283" s="262"/>
      <c r="FP283" s="262"/>
      <c r="FQ283" s="262"/>
      <c r="FR283" s="262"/>
      <c r="FS283" s="262"/>
      <c r="FT283" s="262"/>
      <c r="FU283" s="262"/>
      <c r="FV283" s="262"/>
      <c r="FW283" s="262"/>
      <c r="FX283" s="262"/>
      <c r="FY283" s="262"/>
      <c r="FZ283" s="262"/>
      <c r="GA283" s="262"/>
      <c r="GB283" s="262"/>
      <c r="GC283" s="262"/>
      <c r="GD283" s="262"/>
      <c r="GE283" s="262"/>
      <c r="GF283" s="262"/>
      <c r="GG283" s="262"/>
      <c r="GH283" s="262"/>
      <c r="GI283" s="262"/>
      <c r="GJ283" s="262"/>
      <c r="GK283" s="262"/>
      <c r="GL283" s="262"/>
      <c r="GM283" s="262"/>
      <c r="GN283" s="262"/>
      <c r="GO283" s="262"/>
      <c r="GP283" s="262"/>
      <c r="GQ283" s="262"/>
      <c r="GR283" s="262"/>
      <c r="GS283" s="262"/>
      <c r="GT283" s="262"/>
      <c r="GU283" s="262"/>
      <c r="GV283" s="262"/>
      <c r="GW283" s="262"/>
      <c r="GX283" s="262"/>
      <c r="GY283" s="262"/>
      <c r="GZ283" s="262"/>
      <c r="HA283" s="262"/>
      <c r="HB283" s="262"/>
      <c r="HC283" s="262"/>
      <c r="HD283" s="262"/>
      <c r="HE283" s="262"/>
      <c r="HF283" s="262"/>
      <c r="HG283" s="262"/>
      <c r="HH283" s="262"/>
      <c r="HI283" s="262"/>
      <c r="HJ283" s="262"/>
      <c r="HK283" s="262"/>
      <c r="HL283" s="262"/>
      <c r="HM283" s="262"/>
      <c r="HN283" s="262"/>
      <c r="HO283" s="262"/>
      <c r="HP283" s="265"/>
      <c r="HQ283" s="265"/>
      <c r="HR283" s="265"/>
      <c r="HS283" s="265"/>
      <c r="HT283" s="265"/>
      <c r="HU283" s="265"/>
      <c r="HV283" s="265"/>
      <c r="HW283" s="265"/>
      <c r="HX283" s="265"/>
      <c r="HY283" s="265"/>
      <c r="HZ283" s="265"/>
      <c r="IA283" s="265"/>
      <c r="IB283" s="265"/>
      <c r="IC283" s="265"/>
      <c r="ID283" s="265"/>
      <c r="IE283" s="265"/>
      <c r="IF283" s="265"/>
      <c r="IG283" s="265"/>
      <c r="IH283" s="265"/>
      <c r="II283" s="265"/>
      <c r="IJ283" s="265"/>
      <c r="IK283" s="265"/>
      <c r="IL283" s="265"/>
      <c r="IM283" s="265"/>
      <c r="IN283" s="265"/>
      <c r="IO283" s="265"/>
      <c r="IP283" s="265"/>
      <c r="IQ283" s="265"/>
      <c r="IR283" s="265"/>
    </row>
    <row r="284" spans="1:252" s="207" customFormat="1" ht="24" customHeight="1">
      <c r="A284" s="276" t="s">
        <v>555</v>
      </c>
      <c r="B284" s="235"/>
      <c r="C284" s="235"/>
      <c r="D284" s="235">
        <v>251</v>
      </c>
      <c r="E284" s="235"/>
      <c r="F284" s="235"/>
      <c r="G284" s="235">
        <v>71</v>
      </c>
      <c r="H284" s="231" t="e">
        <f t="shared" si="84"/>
        <v>#DIV/0!</v>
      </c>
      <c r="I284" s="255"/>
      <c r="J284" s="254"/>
      <c r="K284" s="254"/>
      <c r="L284" s="254"/>
      <c r="M284" s="254"/>
      <c r="N284" s="254"/>
      <c r="O284" s="251"/>
      <c r="P284" s="252"/>
      <c r="X284" s="262"/>
      <c r="Y284" s="262"/>
      <c r="Z284" s="262"/>
      <c r="AA284" s="254"/>
      <c r="AB284" s="262"/>
      <c r="AC284" s="262"/>
      <c r="AD284" s="262"/>
      <c r="AE284" s="262"/>
      <c r="AF284" s="262"/>
      <c r="AG284" s="262"/>
      <c r="AH284" s="262"/>
      <c r="AI284" s="262"/>
      <c r="AJ284" s="262"/>
      <c r="AK284" s="262"/>
      <c r="AL284" s="262"/>
      <c r="AM284" s="262"/>
      <c r="AN284" s="262"/>
      <c r="AO284" s="262"/>
      <c r="AP284" s="262"/>
      <c r="AQ284" s="262"/>
      <c r="AR284" s="262"/>
      <c r="AS284" s="262"/>
      <c r="AT284" s="262"/>
      <c r="AU284" s="262"/>
      <c r="AV284" s="262"/>
      <c r="AW284" s="262"/>
      <c r="AX284" s="262"/>
      <c r="AY284" s="262"/>
      <c r="AZ284" s="262"/>
      <c r="BA284" s="262"/>
      <c r="BB284" s="262"/>
      <c r="BC284" s="262"/>
      <c r="BD284" s="262"/>
      <c r="BE284" s="262"/>
      <c r="BF284" s="262"/>
      <c r="BG284" s="262"/>
      <c r="BH284" s="262"/>
      <c r="BI284" s="262"/>
      <c r="BJ284" s="262"/>
      <c r="BK284" s="262"/>
      <c r="BL284" s="262"/>
      <c r="BM284" s="262"/>
      <c r="BN284" s="262"/>
      <c r="BO284" s="262"/>
      <c r="BP284" s="262"/>
      <c r="BQ284" s="262"/>
      <c r="BR284" s="262"/>
      <c r="BS284" s="262"/>
      <c r="BT284" s="262"/>
      <c r="BU284" s="262"/>
      <c r="BV284" s="262"/>
      <c r="BW284" s="262"/>
      <c r="BX284" s="262"/>
      <c r="BY284" s="262"/>
      <c r="BZ284" s="262"/>
      <c r="CA284" s="262"/>
      <c r="CB284" s="262"/>
      <c r="CC284" s="262"/>
      <c r="CD284" s="262"/>
      <c r="CE284" s="262"/>
      <c r="CF284" s="262"/>
      <c r="CG284" s="262"/>
      <c r="CH284" s="262"/>
      <c r="CI284" s="262"/>
      <c r="CJ284" s="262"/>
      <c r="CK284" s="262"/>
      <c r="CL284" s="262"/>
      <c r="CM284" s="262"/>
      <c r="CN284" s="262"/>
      <c r="CO284" s="262"/>
      <c r="CP284" s="262"/>
      <c r="CQ284" s="262"/>
      <c r="CR284" s="262"/>
      <c r="CS284" s="262"/>
      <c r="CT284" s="262"/>
      <c r="CU284" s="262"/>
      <c r="CV284" s="262"/>
      <c r="CW284" s="262"/>
      <c r="CX284" s="262"/>
      <c r="CY284" s="262"/>
      <c r="CZ284" s="262"/>
      <c r="DA284" s="262"/>
      <c r="DB284" s="262"/>
      <c r="DC284" s="262"/>
      <c r="DD284" s="262"/>
      <c r="DE284" s="262"/>
      <c r="DF284" s="262"/>
      <c r="DG284" s="262"/>
      <c r="DH284" s="262"/>
      <c r="DI284" s="262"/>
      <c r="DJ284" s="262"/>
      <c r="DK284" s="262"/>
      <c r="DL284" s="262"/>
      <c r="DM284" s="262"/>
      <c r="DN284" s="262"/>
      <c r="DO284" s="262"/>
      <c r="DP284" s="262"/>
      <c r="DQ284" s="262"/>
      <c r="DR284" s="262"/>
      <c r="DS284" s="262"/>
      <c r="DT284" s="262"/>
      <c r="DU284" s="262"/>
      <c r="DV284" s="262"/>
      <c r="DW284" s="262"/>
      <c r="DX284" s="262"/>
      <c r="DY284" s="262"/>
      <c r="DZ284" s="262"/>
      <c r="EA284" s="262"/>
      <c r="EB284" s="262"/>
      <c r="EC284" s="262"/>
      <c r="ED284" s="262"/>
      <c r="EE284" s="262"/>
      <c r="EF284" s="262"/>
      <c r="EG284" s="262"/>
      <c r="EH284" s="262"/>
      <c r="EI284" s="262"/>
      <c r="EJ284" s="262"/>
      <c r="EK284" s="262"/>
      <c r="EL284" s="262"/>
      <c r="EM284" s="262"/>
      <c r="EN284" s="262"/>
      <c r="EO284" s="262"/>
      <c r="EP284" s="262"/>
      <c r="EQ284" s="262"/>
      <c r="ER284" s="262"/>
      <c r="ES284" s="262"/>
      <c r="ET284" s="262"/>
      <c r="EU284" s="262"/>
      <c r="EV284" s="262"/>
      <c r="EW284" s="262"/>
      <c r="EX284" s="262"/>
      <c r="EY284" s="262"/>
      <c r="EZ284" s="262"/>
      <c r="FA284" s="262"/>
      <c r="FB284" s="262"/>
      <c r="FC284" s="262"/>
      <c r="FD284" s="262"/>
      <c r="FE284" s="262"/>
      <c r="FF284" s="262"/>
      <c r="FG284" s="262"/>
      <c r="FH284" s="262"/>
      <c r="FI284" s="262"/>
      <c r="FJ284" s="262"/>
      <c r="FK284" s="262"/>
      <c r="FL284" s="262"/>
      <c r="FM284" s="262"/>
      <c r="FN284" s="262"/>
      <c r="FO284" s="262"/>
      <c r="FP284" s="262"/>
      <c r="FQ284" s="262"/>
      <c r="FR284" s="262"/>
      <c r="FS284" s="262"/>
      <c r="FT284" s="262"/>
      <c r="FU284" s="262"/>
      <c r="FV284" s="262"/>
      <c r="FW284" s="262"/>
      <c r="FX284" s="262"/>
      <c r="FY284" s="262"/>
      <c r="FZ284" s="262"/>
      <c r="GA284" s="262"/>
      <c r="GB284" s="262"/>
      <c r="GC284" s="262"/>
      <c r="GD284" s="262"/>
      <c r="GE284" s="262"/>
      <c r="GF284" s="262"/>
      <c r="GG284" s="262"/>
      <c r="GH284" s="262"/>
      <c r="GI284" s="262"/>
      <c r="GJ284" s="262"/>
      <c r="GK284" s="262"/>
      <c r="GL284" s="262"/>
      <c r="GM284" s="262"/>
      <c r="GN284" s="262"/>
      <c r="GO284" s="262"/>
      <c r="GP284" s="262"/>
      <c r="GQ284" s="262"/>
      <c r="GR284" s="262"/>
      <c r="GS284" s="262"/>
      <c r="GT284" s="262"/>
      <c r="GU284" s="262"/>
      <c r="GV284" s="262"/>
      <c r="GW284" s="262"/>
      <c r="GX284" s="262"/>
      <c r="GY284" s="262"/>
      <c r="GZ284" s="262"/>
      <c r="HA284" s="262"/>
      <c r="HB284" s="262"/>
      <c r="HC284" s="262"/>
      <c r="HD284" s="262"/>
      <c r="HE284" s="262"/>
      <c r="HF284" s="262"/>
      <c r="HG284" s="262"/>
      <c r="HH284" s="262"/>
      <c r="HI284" s="262"/>
      <c r="HJ284" s="262"/>
      <c r="HK284" s="262"/>
      <c r="HL284" s="262"/>
      <c r="HM284" s="262"/>
      <c r="HN284" s="262"/>
      <c r="HO284" s="262"/>
      <c r="HP284" s="265"/>
      <c r="HQ284" s="265"/>
      <c r="HR284" s="265"/>
      <c r="HS284" s="265"/>
      <c r="HT284" s="265"/>
      <c r="HU284" s="265"/>
      <c r="HV284" s="265"/>
      <c r="HW284" s="265"/>
      <c r="HX284" s="265"/>
      <c r="HY284" s="265"/>
      <c r="HZ284" s="265"/>
      <c r="IA284" s="265"/>
      <c r="IB284" s="265"/>
      <c r="IC284" s="265"/>
      <c r="ID284" s="265"/>
      <c r="IE284" s="265"/>
      <c r="IF284" s="265"/>
      <c r="IG284" s="265"/>
      <c r="IH284" s="265"/>
      <c r="II284" s="265"/>
      <c r="IJ284" s="265"/>
      <c r="IK284" s="265"/>
      <c r="IL284" s="265"/>
      <c r="IM284" s="265"/>
      <c r="IN284" s="265"/>
      <c r="IO284" s="265"/>
      <c r="IP284" s="265"/>
      <c r="IQ284" s="265"/>
      <c r="IR284" s="265"/>
    </row>
    <row r="285" spans="1:252" s="207" customFormat="1" ht="24" customHeight="1">
      <c r="A285" s="276" t="s">
        <v>556</v>
      </c>
      <c r="B285" s="235"/>
      <c r="C285" s="235"/>
      <c r="D285" s="235"/>
      <c r="E285" s="235"/>
      <c r="F285" s="235"/>
      <c r="G285" s="235">
        <v>855</v>
      </c>
      <c r="H285" s="231" t="e">
        <f t="shared" si="84"/>
        <v>#DIV/0!</v>
      </c>
      <c r="I285" s="255"/>
      <c r="J285" s="254"/>
      <c r="K285" s="254"/>
      <c r="L285" s="254"/>
      <c r="M285" s="254"/>
      <c r="N285" s="254"/>
      <c r="O285" s="251"/>
      <c r="P285" s="252"/>
      <c r="X285" s="262"/>
      <c r="Y285" s="262"/>
      <c r="Z285" s="262"/>
      <c r="AA285" s="254"/>
      <c r="AB285" s="262"/>
      <c r="AC285" s="262"/>
      <c r="AD285" s="262"/>
      <c r="AE285" s="262"/>
      <c r="AF285" s="262"/>
      <c r="AG285" s="262"/>
      <c r="AH285" s="262"/>
      <c r="AI285" s="262"/>
      <c r="AJ285" s="262"/>
      <c r="AK285" s="262"/>
      <c r="AL285" s="262"/>
      <c r="AM285" s="262"/>
      <c r="AN285" s="262"/>
      <c r="AO285" s="262"/>
      <c r="AP285" s="262"/>
      <c r="AQ285" s="262"/>
      <c r="AR285" s="262"/>
      <c r="AS285" s="262"/>
      <c r="AT285" s="262"/>
      <c r="AU285" s="262"/>
      <c r="AV285" s="262"/>
      <c r="AW285" s="262"/>
      <c r="AX285" s="262"/>
      <c r="AY285" s="262"/>
      <c r="AZ285" s="262"/>
      <c r="BA285" s="262"/>
      <c r="BB285" s="262"/>
      <c r="BC285" s="262"/>
      <c r="BD285" s="262"/>
      <c r="BE285" s="262"/>
      <c r="BF285" s="262"/>
      <c r="BG285" s="262"/>
      <c r="BH285" s="262"/>
      <c r="BI285" s="262"/>
      <c r="BJ285" s="262"/>
      <c r="BK285" s="262"/>
      <c r="BL285" s="262"/>
      <c r="BM285" s="262"/>
      <c r="BN285" s="262"/>
      <c r="BO285" s="262"/>
      <c r="BP285" s="262"/>
      <c r="BQ285" s="262"/>
      <c r="BR285" s="262"/>
      <c r="BS285" s="262"/>
      <c r="BT285" s="262"/>
      <c r="BU285" s="262"/>
      <c r="BV285" s="262"/>
      <c r="BW285" s="262"/>
      <c r="BX285" s="262"/>
      <c r="BY285" s="262"/>
      <c r="BZ285" s="262"/>
      <c r="CA285" s="262"/>
      <c r="CB285" s="262"/>
      <c r="CC285" s="262"/>
      <c r="CD285" s="262"/>
      <c r="CE285" s="262"/>
      <c r="CF285" s="262"/>
      <c r="CG285" s="262"/>
      <c r="CH285" s="262"/>
      <c r="CI285" s="262"/>
      <c r="CJ285" s="262"/>
      <c r="CK285" s="262"/>
      <c r="CL285" s="262"/>
      <c r="CM285" s="262"/>
      <c r="CN285" s="262"/>
      <c r="CO285" s="262"/>
      <c r="CP285" s="262"/>
      <c r="CQ285" s="262"/>
      <c r="CR285" s="262"/>
      <c r="CS285" s="262"/>
      <c r="CT285" s="262"/>
      <c r="CU285" s="262"/>
      <c r="CV285" s="262"/>
      <c r="CW285" s="262"/>
      <c r="CX285" s="262"/>
      <c r="CY285" s="262"/>
      <c r="CZ285" s="262"/>
      <c r="DA285" s="262"/>
      <c r="DB285" s="262"/>
      <c r="DC285" s="262"/>
      <c r="DD285" s="262"/>
      <c r="DE285" s="262"/>
      <c r="DF285" s="262"/>
      <c r="DG285" s="262"/>
      <c r="DH285" s="262"/>
      <c r="DI285" s="262"/>
      <c r="DJ285" s="262"/>
      <c r="DK285" s="262"/>
      <c r="DL285" s="262"/>
      <c r="DM285" s="262"/>
      <c r="DN285" s="262"/>
      <c r="DO285" s="262"/>
      <c r="DP285" s="262"/>
      <c r="DQ285" s="262"/>
      <c r="DR285" s="262"/>
      <c r="DS285" s="262"/>
      <c r="DT285" s="262"/>
      <c r="DU285" s="262"/>
      <c r="DV285" s="262"/>
      <c r="DW285" s="262"/>
      <c r="DX285" s="262"/>
      <c r="DY285" s="262"/>
      <c r="DZ285" s="262"/>
      <c r="EA285" s="262"/>
      <c r="EB285" s="262"/>
      <c r="EC285" s="262"/>
      <c r="ED285" s="262"/>
      <c r="EE285" s="262"/>
      <c r="EF285" s="262"/>
      <c r="EG285" s="262"/>
      <c r="EH285" s="262"/>
      <c r="EI285" s="262"/>
      <c r="EJ285" s="262"/>
      <c r="EK285" s="262"/>
      <c r="EL285" s="262"/>
      <c r="EM285" s="262"/>
      <c r="EN285" s="262"/>
      <c r="EO285" s="262"/>
      <c r="EP285" s="262"/>
      <c r="EQ285" s="262"/>
      <c r="ER285" s="262"/>
      <c r="ES285" s="262"/>
      <c r="ET285" s="262"/>
      <c r="EU285" s="262"/>
      <c r="EV285" s="262"/>
      <c r="EW285" s="262"/>
      <c r="EX285" s="262"/>
      <c r="EY285" s="262"/>
      <c r="EZ285" s="262"/>
      <c r="FA285" s="262"/>
      <c r="FB285" s="262"/>
      <c r="FC285" s="262"/>
      <c r="FD285" s="262"/>
      <c r="FE285" s="262"/>
      <c r="FF285" s="262"/>
      <c r="FG285" s="262"/>
      <c r="FH285" s="262"/>
      <c r="FI285" s="262"/>
      <c r="FJ285" s="262"/>
      <c r="FK285" s="262"/>
      <c r="FL285" s="262"/>
      <c r="FM285" s="262"/>
      <c r="FN285" s="262"/>
      <c r="FO285" s="262"/>
      <c r="FP285" s="262"/>
      <c r="FQ285" s="262"/>
      <c r="FR285" s="262"/>
      <c r="FS285" s="262"/>
      <c r="FT285" s="262"/>
      <c r="FU285" s="262"/>
      <c r="FV285" s="262"/>
      <c r="FW285" s="262"/>
      <c r="FX285" s="262"/>
      <c r="FY285" s="262"/>
      <c r="FZ285" s="262"/>
      <c r="GA285" s="262"/>
      <c r="GB285" s="262"/>
      <c r="GC285" s="262"/>
      <c r="GD285" s="262"/>
      <c r="GE285" s="262"/>
      <c r="GF285" s="262"/>
      <c r="GG285" s="262"/>
      <c r="GH285" s="262"/>
      <c r="GI285" s="262"/>
      <c r="GJ285" s="262"/>
      <c r="GK285" s="262"/>
      <c r="GL285" s="262"/>
      <c r="GM285" s="262"/>
      <c r="GN285" s="262"/>
      <c r="GO285" s="262"/>
      <c r="GP285" s="262"/>
      <c r="GQ285" s="262"/>
      <c r="GR285" s="262"/>
      <c r="GS285" s="262"/>
      <c r="GT285" s="262"/>
      <c r="GU285" s="262"/>
      <c r="GV285" s="262"/>
      <c r="GW285" s="262"/>
      <c r="GX285" s="262"/>
      <c r="GY285" s="262"/>
      <c r="GZ285" s="262"/>
      <c r="HA285" s="262"/>
      <c r="HB285" s="262"/>
      <c r="HC285" s="262"/>
      <c r="HD285" s="262"/>
      <c r="HE285" s="262"/>
      <c r="HF285" s="262"/>
      <c r="HG285" s="262"/>
      <c r="HH285" s="262"/>
      <c r="HI285" s="262"/>
      <c r="HJ285" s="262"/>
      <c r="HK285" s="262"/>
      <c r="HL285" s="262"/>
      <c r="HM285" s="262"/>
      <c r="HN285" s="262"/>
      <c r="HO285" s="262"/>
      <c r="HP285" s="265"/>
      <c r="HQ285" s="265"/>
      <c r="HR285" s="265"/>
      <c r="HS285" s="265"/>
      <c r="HT285" s="265"/>
      <c r="HU285" s="265"/>
      <c r="HV285" s="265"/>
      <c r="HW285" s="265"/>
      <c r="HX285" s="265"/>
      <c r="HY285" s="265"/>
      <c r="HZ285" s="265"/>
      <c r="IA285" s="265"/>
      <c r="IB285" s="265"/>
      <c r="IC285" s="265"/>
      <c r="ID285" s="265"/>
      <c r="IE285" s="265"/>
      <c r="IF285" s="265"/>
      <c r="IG285" s="265"/>
      <c r="IH285" s="265"/>
      <c r="II285" s="265"/>
      <c r="IJ285" s="265"/>
      <c r="IK285" s="265"/>
      <c r="IL285" s="265"/>
      <c r="IM285" s="265"/>
      <c r="IN285" s="265"/>
      <c r="IO285" s="265"/>
      <c r="IP285" s="265"/>
      <c r="IQ285" s="265"/>
      <c r="IR285" s="265"/>
    </row>
    <row r="286" spans="1:27" s="207" customFormat="1" ht="24" customHeight="1">
      <c r="A286" s="234" t="s">
        <v>557</v>
      </c>
      <c r="B286" s="235">
        <f aca="true" t="shared" si="92" ref="B286:G286">SUM(B287:B288)</f>
        <v>0</v>
      </c>
      <c r="C286" s="235">
        <f t="shared" si="92"/>
        <v>0</v>
      </c>
      <c r="D286" s="235">
        <f t="shared" si="92"/>
        <v>0</v>
      </c>
      <c r="E286" s="235">
        <f t="shared" si="92"/>
        <v>0</v>
      </c>
      <c r="F286" s="235">
        <f t="shared" si="92"/>
        <v>0</v>
      </c>
      <c r="G286" s="235">
        <f t="shared" si="92"/>
        <v>0</v>
      </c>
      <c r="H286" s="231" t="e">
        <f t="shared" si="84"/>
        <v>#DIV/0!</v>
      </c>
      <c r="I286" s="249"/>
      <c r="J286" s="250"/>
      <c r="O286" s="251"/>
      <c r="P286" s="234"/>
      <c r="AA286" s="254">
        <f aca="true" t="shared" si="93" ref="AA286:AA325">F286-E286</f>
        <v>0</v>
      </c>
    </row>
    <row r="287" spans="1:27" s="207" customFormat="1" ht="24" customHeight="1">
      <c r="A287" s="234" t="s">
        <v>558</v>
      </c>
      <c r="B287" s="235"/>
      <c r="C287" s="235"/>
      <c r="D287" s="235"/>
      <c r="E287" s="235"/>
      <c r="F287" s="235"/>
      <c r="G287" s="235"/>
      <c r="H287" s="231" t="e">
        <f t="shared" si="84"/>
        <v>#DIV/0!</v>
      </c>
      <c r="I287" s="255"/>
      <c r="O287" s="251"/>
      <c r="P287" s="252"/>
      <c r="AA287" s="254">
        <f t="shared" si="93"/>
        <v>0</v>
      </c>
    </row>
    <row r="288" spans="1:27" s="207" customFormat="1" ht="24" customHeight="1">
      <c r="A288" s="234" t="s">
        <v>559</v>
      </c>
      <c r="B288" s="235"/>
      <c r="C288" s="235"/>
      <c r="D288" s="235"/>
      <c r="E288" s="235"/>
      <c r="F288" s="235"/>
      <c r="G288" s="235"/>
      <c r="H288" s="231" t="e">
        <f t="shared" si="84"/>
        <v>#DIV/0!</v>
      </c>
      <c r="I288" s="255"/>
      <c r="O288" s="251"/>
      <c r="P288" s="252"/>
      <c r="AA288" s="254">
        <f t="shared" si="93"/>
        <v>0</v>
      </c>
    </row>
    <row r="289" spans="1:27" s="207" customFormat="1" ht="24" customHeight="1">
      <c r="A289" s="234" t="s">
        <v>560</v>
      </c>
      <c r="B289" s="235">
        <f aca="true" t="shared" si="94" ref="B289:G289">SUM(B290)</f>
        <v>0</v>
      </c>
      <c r="C289" s="235">
        <f t="shared" si="94"/>
        <v>0</v>
      </c>
      <c r="D289" s="235">
        <f t="shared" si="94"/>
        <v>0</v>
      </c>
      <c r="E289" s="235">
        <f t="shared" si="94"/>
        <v>0</v>
      </c>
      <c r="F289" s="235">
        <f t="shared" si="94"/>
        <v>0</v>
      </c>
      <c r="G289" s="235">
        <f t="shared" si="94"/>
        <v>0</v>
      </c>
      <c r="H289" s="231" t="e">
        <f t="shared" si="84"/>
        <v>#DIV/0!</v>
      </c>
      <c r="I289" s="249"/>
      <c r="J289" s="250"/>
      <c r="O289" s="251"/>
      <c r="P289" s="252"/>
      <c r="AA289" s="254">
        <f t="shared" si="93"/>
        <v>0</v>
      </c>
    </row>
    <row r="290" spans="1:27" s="207" customFormat="1" ht="24" customHeight="1">
      <c r="A290" s="234" t="s">
        <v>561</v>
      </c>
      <c r="B290" s="235"/>
      <c r="C290" s="235"/>
      <c r="D290" s="235"/>
      <c r="E290" s="235"/>
      <c r="F290" s="235"/>
      <c r="G290" s="235"/>
      <c r="H290" s="231" t="e">
        <f t="shared" si="84"/>
        <v>#DIV/0!</v>
      </c>
      <c r="I290" s="255"/>
      <c r="O290" s="251"/>
      <c r="P290" s="252"/>
      <c r="AA290" s="254">
        <f t="shared" si="93"/>
        <v>0</v>
      </c>
    </row>
    <row r="291" spans="1:27" s="205" customFormat="1" ht="24" customHeight="1">
      <c r="A291" s="232" t="s">
        <v>562</v>
      </c>
      <c r="B291" s="233">
        <f>B292+B298+B300+B302+B304</f>
        <v>2105</v>
      </c>
      <c r="C291" s="233">
        <f>C292+C298+C300+C302+C304</f>
        <v>2105</v>
      </c>
      <c r="D291" s="233">
        <f>D292+D295+D298+D300+D302+D304</f>
        <v>0</v>
      </c>
      <c r="E291" s="233">
        <f>E292+E298+E300+E302+E304</f>
        <v>1823</v>
      </c>
      <c r="F291" s="233">
        <f>F292+F298+F300+F302+F304</f>
        <v>1823</v>
      </c>
      <c r="G291" s="233">
        <f>G292+G295+G298+G300+G302+G304</f>
        <v>0</v>
      </c>
      <c r="H291" s="231">
        <f t="shared" si="84"/>
        <v>0.8660332541567696</v>
      </c>
      <c r="I291" s="277"/>
      <c r="J291" s="278"/>
      <c r="O291" s="247"/>
      <c r="P291" s="248"/>
      <c r="AA291" s="263">
        <f t="shared" si="93"/>
        <v>0</v>
      </c>
    </row>
    <row r="292" spans="1:27" s="207" customFormat="1" ht="24" customHeight="1">
      <c r="A292" s="234" t="s">
        <v>563</v>
      </c>
      <c r="B292" s="235">
        <f>SUM(B293:B297)</f>
        <v>1267</v>
      </c>
      <c r="C292" s="235">
        <f>SUM(C293:C297)</f>
        <v>1267</v>
      </c>
      <c r="D292" s="235">
        <f>SUM(D293:D294)</f>
        <v>0</v>
      </c>
      <c r="E292" s="235">
        <f>SUM(E293:E297)</f>
        <v>1020</v>
      </c>
      <c r="F292" s="235">
        <f>SUM(F293:F297)</f>
        <v>1020</v>
      </c>
      <c r="G292" s="235">
        <f>SUM(G293:G294)</f>
        <v>0</v>
      </c>
      <c r="H292" s="231">
        <f t="shared" si="84"/>
        <v>0.8050513022888713</v>
      </c>
      <c r="I292" s="249"/>
      <c r="J292" s="250"/>
      <c r="O292" s="251"/>
      <c r="P292" s="252"/>
      <c r="AA292" s="254">
        <f t="shared" si="93"/>
        <v>0</v>
      </c>
    </row>
    <row r="293" spans="1:27" s="207" customFormat="1" ht="24" customHeight="1">
      <c r="A293" s="234" t="s">
        <v>564</v>
      </c>
      <c r="B293" s="235">
        <v>820</v>
      </c>
      <c r="C293" s="235">
        <v>820</v>
      </c>
      <c r="D293" s="235"/>
      <c r="E293" s="235">
        <v>569</v>
      </c>
      <c r="F293" s="235">
        <f>77+268+147+59+18</f>
        <v>569</v>
      </c>
      <c r="G293" s="235"/>
      <c r="H293" s="231">
        <f t="shared" si="84"/>
        <v>0.6939024390243902</v>
      </c>
      <c r="I293" s="255"/>
      <c r="O293" s="251"/>
      <c r="P293" s="252"/>
      <c r="AA293" s="254">
        <f t="shared" si="93"/>
        <v>0</v>
      </c>
    </row>
    <row r="294" spans="1:27" s="207" customFormat="1" ht="24" customHeight="1">
      <c r="A294" s="234" t="s">
        <v>565</v>
      </c>
      <c r="B294" s="235"/>
      <c r="C294" s="235"/>
      <c r="D294" s="235"/>
      <c r="E294" s="235"/>
      <c r="F294" s="235"/>
      <c r="G294" s="235"/>
      <c r="H294" s="231" t="e">
        <f t="shared" si="84"/>
        <v>#DIV/0!</v>
      </c>
      <c r="I294" s="255"/>
      <c r="O294" s="251"/>
      <c r="P294" s="252"/>
      <c r="AA294" s="254">
        <f t="shared" si="93"/>
        <v>0</v>
      </c>
    </row>
    <row r="295" spans="1:27" s="207" customFormat="1" ht="24" customHeight="1">
      <c r="A295" s="234" t="s">
        <v>566</v>
      </c>
      <c r="B295" s="235">
        <v>300</v>
      </c>
      <c r="C295" s="235">
        <v>300</v>
      </c>
      <c r="D295" s="235">
        <f>SUM(D296:D297)</f>
        <v>0</v>
      </c>
      <c r="E295" s="235">
        <v>299</v>
      </c>
      <c r="F295" s="235">
        <f>251+48</f>
        <v>299</v>
      </c>
      <c r="G295" s="235">
        <f>SUM(G296:G297)</f>
        <v>0</v>
      </c>
      <c r="H295" s="231">
        <f t="shared" si="84"/>
        <v>0.9966666666666667</v>
      </c>
      <c r="I295" s="269"/>
      <c r="O295" s="251"/>
      <c r="P295" s="252"/>
      <c r="AA295" s="254">
        <f t="shared" si="93"/>
        <v>0</v>
      </c>
    </row>
    <row r="296" spans="1:27" s="207" customFormat="1" ht="29.25" customHeight="1">
      <c r="A296" s="234" t="s">
        <v>567</v>
      </c>
      <c r="B296" s="235"/>
      <c r="C296" s="235"/>
      <c r="D296" s="235"/>
      <c r="E296" s="235"/>
      <c r="F296" s="235"/>
      <c r="G296" s="235"/>
      <c r="H296" s="231" t="e">
        <f t="shared" si="84"/>
        <v>#DIV/0!</v>
      </c>
      <c r="I296" s="255"/>
      <c r="O296" s="251"/>
      <c r="P296" s="252"/>
      <c r="AA296" s="254">
        <f t="shared" si="93"/>
        <v>0</v>
      </c>
    </row>
    <row r="297" spans="1:27" s="207" customFormat="1" ht="29.25" customHeight="1">
      <c r="A297" s="234" t="s">
        <v>568</v>
      </c>
      <c r="B297" s="235">
        <v>147</v>
      </c>
      <c r="C297" s="235">
        <v>147</v>
      </c>
      <c r="D297" s="235"/>
      <c r="E297" s="235">
        <v>152</v>
      </c>
      <c r="F297" s="235">
        <f>134+18</f>
        <v>152</v>
      </c>
      <c r="G297" s="235"/>
      <c r="H297" s="231">
        <f t="shared" si="84"/>
        <v>1.034013605442177</v>
      </c>
      <c r="I297" s="269"/>
      <c r="O297" s="251"/>
      <c r="P297" s="252"/>
      <c r="AA297" s="254">
        <f t="shared" si="93"/>
        <v>0</v>
      </c>
    </row>
    <row r="298" spans="1:27" s="207" customFormat="1" ht="24" customHeight="1">
      <c r="A298" s="234" t="s">
        <v>569</v>
      </c>
      <c r="B298" s="235">
        <f aca="true" t="shared" si="95" ref="B298:G298">SUM(B299)</f>
        <v>0</v>
      </c>
      <c r="C298" s="235">
        <f t="shared" si="95"/>
        <v>0</v>
      </c>
      <c r="D298" s="235">
        <f t="shared" si="95"/>
        <v>0</v>
      </c>
      <c r="E298" s="235">
        <f t="shared" si="95"/>
        <v>0</v>
      </c>
      <c r="F298" s="235">
        <f t="shared" si="95"/>
        <v>0</v>
      </c>
      <c r="G298" s="235">
        <f t="shared" si="95"/>
        <v>0</v>
      </c>
      <c r="H298" s="231" t="e">
        <f t="shared" si="84"/>
        <v>#DIV/0!</v>
      </c>
      <c r="I298" s="249"/>
      <c r="J298" s="250"/>
      <c r="O298" s="251"/>
      <c r="P298" s="252"/>
      <c r="AA298" s="254">
        <f t="shared" si="93"/>
        <v>0</v>
      </c>
    </row>
    <row r="299" spans="1:252" s="207" customFormat="1" ht="24" customHeight="1">
      <c r="A299" s="234" t="s">
        <v>570</v>
      </c>
      <c r="B299" s="235"/>
      <c r="C299" s="235"/>
      <c r="D299" s="235"/>
      <c r="E299" s="235"/>
      <c r="F299" s="235"/>
      <c r="G299" s="235"/>
      <c r="H299" s="231" t="e">
        <f t="shared" si="84"/>
        <v>#DIV/0!</v>
      </c>
      <c r="I299" s="255"/>
      <c r="J299" s="254"/>
      <c r="K299" s="254"/>
      <c r="L299" s="254"/>
      <c r="M299" s="254"/>
      <c r="N299" s="254"/>
      <c r="O299" s="251"/>
      <c r="P299" s="252"/>
      <c r="X299" s="262"/>
      <c r="Y299" s="262"/>
      <c r="Z299" s="262"/>
      <c r="AA299" s="254">
        <f t="shared" si="93"/>
        <v>0</v>
      </c>
      <c r="AB299" s="262"/>
      <c r="AC299" s="262"/>
      <c r="AD299" s="262"/>
      <c r="AE299" s="262"/>
      <c r="AF299" s="262"/>
      <c r="AG299" s="262"/>
      <c r="AH299" s="262"/>
      <c r="AI299" s="262"/>
      <c r="AJ299" s="262"/>
      <c r="AK299" s="262"/>
      <c r="AL299" s="262"/>
      <c r="AM299" s="262"/>
      <c r="AN299" s="262"/>
      <c r="AO299" s="262"/>
      <c r="AP299" s="262"/>
      <c r="AQ299" s="262"/>
      <c r="AR299" s="262"/>
      <c r="AS299" s="262"/>
      <c r="AT299" s="262"/>
      <c r="AU299" s="262"/>
      <c r="AV299" s="262"/>
      <c r="AW299" s="262"/>
      <c r="AX299" s="262"/>
      <c r="AY299" s="262"/>
      <c r="AZ299" s="262"/>
      <c r="BA299" s="262"/>
      <c r="BB299" s="262"/>
      <c r="BC299" s="262"/>
      <c r="BD299" s="262"/>
      <c r="BE299" s="262"/>
      <c r="BF299" s="262"/>
      <c r="BG299" s="262"/>
      <c r="BH299" s="262"/>
      <c r="BI299" s="262"/>
      <c r="BJ299" s="262"/>
      <c r="BK299" s="262"/>
      <c r="BL299" s="262"/>
      <c r="BM299" s="262"/>
      <c r="BN299" s="262"/>
      <c r="BO299" s="262"/>
      <c r="BP299" s="262"/>
      <c r="BQ299" s="262"/>
      <c r="BR299" s="262"/>
      <c r="BS299" s="262"/>
      <c r="BT299" s="262"/>
      <c r="BU299" s="262"/>
      <c r="BV299" s="262"/>
      <c r="BW299" s="262"/>
      <c r="BX299" s="262"/>
      <c r="BY299" s="262"/>
      <c r="BZ299" s="262"/>
      <c r="CA299" s="262"/>
      <c r="CB299" s="262"/>
      <c r="CC299" s="262"/>
      <c r="CD299" s="262"/>
      <c r="CE299" s="262"/>
      <c r="CF299" s="262"/>
      <c r="CG299" s="262"/>
      <c r="CH299" s="262"/>
      <c r="CI299" s="262"/>
      <c r="CJ299" s="262"/>
      <c r="CK299" s="262"/>
      <c r="CL299" s="262"/>
      <c r="CM299" s="262"/>
      <c r="CN299" s="262"/>
      <c r="CO299" s="262"/>
      <c r="CP299" s="262"/>
      <c r="CQ299" s="262"/>
      <c r="CR299" s="262"/>
      <c r="CS299" s="262"/>
      <c r="CT299" s="262"/>
      <c r="CU299" s="262"/>
      <c r="CV299" s="262"/>
      <c r="CW299" s="262"/>
      <c r="CX299" s="262"/>
      <c r="CY299" s="262"/>
      <c r="CZ299" s="262"/>
      <c r="DA299" s="262"/>
      <c r="DB299" s="262"/>
      <c r="DC299" s="262"/>
      <c r="DD299" s="262"/>
      <c r="DE299" s="262"/>
      <c r="DF299" s="262"/>
      <c r="DG299" s="262"/>
      <c r="DH299" s="262"/>
      <c r="DI299" s="262"/>
      <c r="DJ299" s="262"/>
      <c r="DK299" s="262"/>
      <c r="DL299" s="262"/>
      <c r="DM299" s="262"/>
      <c r="DN299" s="262"/>
      <c r="DO299" s="262"/>
      <c r="DP299" s="262"/>
      <c r="DQ299" s="262"/>
      <c r="DR299" s="262"/>
      <c r="DS299" s="262"/>
      <c r="DT299" s="262"/>
      <c r="DU299" s="262"/>
      <c r="DV299" s="262"/>
      <c r="DW299" s="262"/>
      <c r="DX299" s="262"/>
      <c r="DY299" s="262"/>
      <c r="DZ299" s="262"/>
      <c r="EA299" s="262"/>
      <c r="EB299" s="262"/>
      <c r="EC299" s="262"/>
      <c r="ED299" s="262"/>
      <c r="EE299" s="262"/>
      <c r="EF299" s="262"/>
      <c r="EG299" s="262"/>
      <c r="EH299" s="262"/>
      <c r="EI299" s="262"/>
      <c r="EJ299" s="262"/>
      <c r="EK299" s="262"/>
      <c r="EL299" s="262"/>
      <c r="EM299" s="262"/>
      <c r="EN299" s="262"/>
      <c r="EO299" s="262"/>
      <c r="EP299" s="262"/>
      <c r="EQ299" s="262"/>
      <c r="ER299" s="262"/>
      <c r="ES299" s="262"/>
      <c r="ET299" s="262"/>
      <c r="EU299" s="262"/>
      <c r="EV299" s="262"/>
      <c r="EW299" s="262"/>
      <c r="EX299" s="262"/>
      <c r="EY299" s="262"/>
      <c r="EZ299" s="262"/>
      <c r="FA299" s="262"/>
      <c r="FB299" s="262"/>
      <c r="FC299" s="262"/>
      <c r="FD299" s="262"/>
      <c r="FE299" s="262"/>
      <c r="FF299" s="262"/>
      <c r="FG299" s="262"/>
      <c r="FH299" s="262"/>
      <c r="FI299" s="262"/>
      <c r="FJ299" s="262"/>
      <c r="FK299" s="262"/>
      <c r="FL299" s="262"/>
      <c r="FM299" s="262"/>
      <c r="FN299" s="262"/>
      <c r="FO299" s="262"/>
      <c r="FP299" s="262"/>
      <c r="FQ299" s="262"/>
      <c r="FR299" s="262"/>
      <c r="FS299" s="262"/>
      <c r="FT299" s="262"/>
      <c r="FU299" s="262"/>
      <c r="FV299" s="262"/>
      <c r="FW299" s="262"/>
      <c r="FX299" s="262"/>
      <c r="FY299" s="262"/>
      <c r="FZ299" s="262"/>
      <c r="GA299" s="262"/>
      <c r="GB299" s="262"/>
      <c r="GC299" s="262"/>
      <c r="GD299" s="262"/>
      <c r="GE299" s="262"/>
      <c r="GF299" s="262"/>
      <c r="GG299" s="262"/>
      <c r="GH299" s="262"/>
      <c r="GI299" s="262"/>
      <c r="GJ299" s="262"/>
      <c r="GK299" s="262"/>
      <c r="GL299" s="262"/>
      <c r="GM299" s="262"/>
      <c r="GN299" s="262"/>
      <c r="GO299" s="262"/>
      <c r="GP299" s="262"/>
      <c r="GQ299" s="262"/>
      <c r="GR299" s="262"/>
      <c r="GS299" s="262"/>
      <c r="GT299" s="262"/>
      <c r="GU299" s="262"/>
      <c r="GV299" s="262"/>
      <c r="GW299" s="262"/>
      <c r="GX299" s="262"/>
      <c r="GY299" s="262"/>
      <c r="GZ299" s="262"/>
      <c r="HA299" s="262"/>
      <c r="HB299" s="262"/>
      <c r="HC299" s="262"/>
      <c r="HD299" s="262"/>
      <c r="HE299" s="262"/>
      <c r="HF299" s="262"/>
      <c r="HG299" s="262"/>
      <c r="HH299" s="262"/>
      <c r="HI299" s="262"/>
      <c r="HJ299" s="262"/>
      <c r="HK299" s="262"/>
      <c r="HL299" s="262"/>
      <c r="HM299" s="262"/>
      <c r="HN299" s="262"/>
      <c r="HO299" s="262"/>
      <c r="HP299" s="265"/>
      <c r="HQ299" s="265"/>
      <c r="HR299" s="265"/>
      <c r="HS299" s="265"/>
      <c r="HT299" s="265"/>
      <c r="HU299" s="265"/>
      <c r="HV299" s="265"/>
      <c r="HW299" s="265"/>
      <c r="HX299" s="265"/>
      <c r="HY299" s="265"/>
      <c r="HZ299" s="265"/>
      <c r="IA299" s="265"/>
      <c r="IB299" s="265"/>
      <c r="IC299" s="265"/>
      <c r="ID299" s="265"/>
      <c r="IE299" s="265"/>
      <c r="IF299" s="265"/>
      <c r="IG299" s="265"/>
      <c r="IH299" s="265"/>
      <c r="II299" s="265"/>
      <c r="IJ299" s="265"/>
      <c r="IK299" s="265"/>
      <c r="IL299" s="265"/>
      <c r="IM299" s="265"/>
      <c r="IN299" s="265"/>
      <c r="IO299" s="265"/>
      <c r="IP299" s="265"/>
      <c r="IQ299" s="265"/>
      <c r="IR299" s="265"/>
    </row>
    <row r="300" spans="1:27" s="207" customFormat="1" ht="24" customHeight="1">
      <c r="A300" s="234" t="s">
        <v>571</v>
      </c>
      <c r="B300" s="235">
        <f aca="true" t="shared" si="96" ref="B300:G300">SUM(B301)</f>
        <v>415</v>
      </c>
      <c r="C300" s="235">
        <f t="shared" si="96"/>
        <v>415</v>
      </c>
      <c r="D300" s="235">
        <f t="shared" si="96"/>
        <v>0</v>
      </c>
      <c r="E300" s="235">
        <f t="shared" si="96"/>
        <v>381</v>
      </c>
      <c r="F300" s="235">
        <f t="shared" si="96"/>
        <v>381</v>
      </c>
      <c r="G300" s="235">
        <f t="shared" si="96"/>
        <v>0</v>
      </c>
      <c r="H300" s="231">
        <f t="shared" si="84"/>
        <v>0.9180722891566265</v>
      </c>
      <c r="I300" s="249"/>
      <c r="J300" s="250"/>
      <c r="O300" s="251"/>
      <c r="P300" s="234"/>
      <c r="AA300" s="254">
        <f t="shared" si="93"/>
        <v>0</v>
      </c>
    </row>
    <row r="301" spans="1:252" s="207" customFormat="1" ht="27.75" customHeight="1">
      <c r="A301" s="234" t="s">
        <v>572</v>
      </c>
      <c r="B301" s="235">
        <v>415</v>
      </c>
      <c r="C301" s="235">
        <f>394+21</f>
        <v>415</v>
      </c>
      <c r="D301" s="235"/>
      <c r="E301" s="235">
        <v>381</v>
      </c>
      <c r="F301" s="235">
        <v>381</v>
      </c>
      <c r="G301" s="235"/>
      <c r="H301" s="231">
        <f t="shared" si="84"/>
        <v>0.9180722891566265</v>
      </c>
      <c r="I301" s="255" t="s">
        <v>573</v>
      </c>
      <c r="J301" s="254"/>
      <c r="K301" s="254"/>
      <c r="L301" s="254"/>
      <c r="M301" s="254"/>
      <c r="N301" s="254"/>
      <c r="O301" s="251"/>
      <c r="P301" s="252"/>
      <c r="X301" s="262"/>
      <c r="Y301" s="262"/>
      <c r="Z301" s="262"/>
      <c r="AA301" s="254">
        <f t="shared" si="93"/>
        <v>0</v>
      </c>
      <c r="AB301" s="262"/>
      <c r="AC301" s="262"/>
      <c r="AD301" s="262"/>
      <c r="AE301" s="262"/>
      <c r="AF301" s="262"/>
      <c r="AG301" s="262"/>
      <c r="AH301" s="262"/>
      <c r="AI301" s="262"/>
      <c r="AJ301" s="262"/>
      <c r="AK301" s="262"/>
      <c r="AL301" s="262"/>
      <c r="AM301" s="262"/>
      <c r="AN301" s="262"/>
      <c r="AO301" s="262"/>
      <c r="AP301" s="262"/>
      <c r="AQ301" s="262"/>
      <c r="AR301" s="262"/>
      <c r="AS301" s="262"/>
      <c r="AT301" s="262"/>
      <c r="AU301" s="262"/>
      <c r="AV301" s="262"/>
      <c r="AW301" s="262"/>
      <c r="AX301" s="262"/>
      <c r="AY301" s="262"/>
      <c r="AZ301" s="262"/>
      <c r="BA301" s="262"/>
      <c r="BB301" s="262"/>
      <c r="BC301" s="262"/>
      <c r="BD301" s="262"/>
      <c r="BE301" s="262"/>
      <c r="BF301" s="262"/>
      <c r="BG301" s="262"/>
      <c r="BH301" s="262"/>
      <c r="BI301" s="262"/>
      <c r="BJ301" s="262"/>
      <c r="BK301" s="262"/>
      <c r="BL301" s="262"/>
      <c r="BM301" s="262"/>
      <c r="BN301" s="262"/>
      <c r="BO301" s="262"/>
      <c r="BP301" s="262"/>
      <c r="BQ301" s="262"/>
      <c r="BR301" s="262"/>
      <c r="BS301" s="262"/>
      <c r="BT301" s="262"/>
      <c r="BU301" s="262"/>
      <c r="BV301" s="262"/>
      <c r="BW301" s="262"/>
      <c r="BX301" s="262"/>
      <c r="BY301" s="262"/>
      <c r="BZ301" s="262"/>
      <c r="CA301" s="262"/>
      <c r="CB301" s="262"/>
      <c r="CC301" s="262"/>
      <c r="CD301" s="262"/>
      <c r="CE301" s="262"/>
      <c r="CF301" s="262"/>
      <c r="CG301" s="262"/>
      <c r="CH301" s="262"/>
      <c r="CI301" s="262"/>
      <c r="CJ301" s="262"/>
      <c r="CK301" s="262"/>
      <c r="CL301" s="262"/>
      <c r="CM301" s="262"/>
      <c r="CN301" s="262"/>
      <c r="CO301" s="262"/>
      <c r="CP301" s="262"/>
      <c r="CQ301" s="262"/>
      <c r="CR301" s="262"/>
      <c r="CS301" s="262"/>
      <c r="CT301" s="262"/>
      <c r="CU301" s="262"/>
      <c r="CV301" s="262"/>
      <c r="CW301" s="262"/>
      <c r="CX301" s="262"/>
      <c r="CY301" s="262"/>
      <c r="CZ301" s="262"/>
      <c r="DA301" s="262"/>
      <c r="DB301" s="262"/>
      <c r="DC301" s="262"/>
      <c r="DD301" s="262"/>
      <c r="DE301" s="262"/>
      <c r="DF301" s="262"/>
      <c r="DG301" s="262"/>
      <c r="DH301" s="262"/>
      <c r="DI301" s="262"/>
      <c r="DJ301" s="262"/>
      <c r="DK301" s="262"/>
      <c r="DL301" s="262"/>
      <c r="DM301" s="262"/>
      <c r="DN301" s="262"/>
      <c r="DO301" s="262"/>
      <c r="DP301" s="262"/>
      <c r="DQ301" s="262"/>
      <c r="DR301" s="262"/>
      <c r="DS301" s="262"/>
      <c r="DT301" s="262"/>
      <c r="DU301" s="262"/>
      <c r="DV301" s="262"/>
      <c r="DW301" s="262"/>
      <c r="DX301" s="262"/>
      <c r="DY301" s="262"/>
      <c r="DZ301" s="262"/>
      <c r="EA301" s="262"/>
      <c r="EB301" s="262"/>
      <c r="EC301" s="262"/>
      <c r="ED301" s="262"/>
      <c r="EE301" s="262"/>
      <c r="EF301" s="262"/>
      <c r="EG301" s="262"/>
      <c r="EH301" s="262"/>
      <c r="EI301" s="262"/>
      <c r="EJ301" s="262"/>
      <c r="EK301" s="262"/>
      <c r="EL301" s="262"/>
      <c r="EM301" s="262"/>
      <c r="EN301" s="262"/>
      <c r="EO301" s="262"/>
      <c r="EP301" s="262"/>
      <c r="EQ301" s="262"/>
      <c r="ER301" s="262"/>
      <c r="ES301" s="262"/>
      <c r="ET301" s="262"/>
      <c r="EU301" s="262"/>
      <c r="EV301" s="262"/>
      <c r="EW301" s="262"/>
      <c r="EX301" s="262"/>
      <c r="EY301" s="262"/>
      <c r="EZ301" s="262"/>
      <c r="FA301" s="262"/>
      <c r="FB301" s="262"/>
      <c r="FC301" s="262"/>
      <c r="FD301" s="262"/>
      <c r="FE301" s="262"/>
      <c r="FF301" s="262"/>
      <c r="FG301" s="262"/>
      <c r="FH301" s="262"/>
      <c r="FI301" s="262"/>
      <c r="FJ301" s="262"/>
      <c r="FK301" s="262"/>
      <c r="FL301" s="262"/>
      <c r="FM301" s="262"/>
      <c r="FN301" s="262"/>
      <c r="FO301" s="262"/>
      <c r="FP301" s="262"/>
      <c r="FQ301" s="262"/>
      <c r="FR301" s="262"/>
      <c r="FS301" s="262"/>
      <c r="FT301" s="262"/>
      <c r="FU301" s="262"/>
      <c r="FV301" s="262"/>
      <c r="FW301" s="262"/>
      <c r="FX301" s="262"/>
      <c r="FY301" s="262"/>
      <c r="FZ301" s="262"/>
      <c r="GA301" s="262"/>
      <c r="GB301" s="262"/>
      <c r="GC301" s="262"/>
      <c r="GD301" s="262"/>
      <c r="GE301" s="262"/>
      <c r="GF301" s="262"/>
      <c r="GG301" s="262"/>
      <c r="GH301" s="262"/>
      <c r="GI301" s="262"/>
      <c r="GJ301" s="262"/>
      <c r="GK301" s="262"/>
      <c r="GL301" s="262"/>
      <c r="GM301" s="262"/>
      <c r="GN301" s="262"/>
      <c r="GO301" s="262"/>
      <c r="GP301" s="262"/>
      <c r="GQ301" s="262"/>
      <c r="GR301" s="262"/>
      <c r="GS301" s="262"/>
      <c r="GT301" s="262"/>
      <c r="GU301" s="262"/>
      <c r="GV301" s="262"/>
      <c r="GW301" s="262"/>
      <c r="GX301" s="262"/>
      <c r="GY301" s="262"/>
      <c r="GZ301" s="262"/>
      <c r="HA301" s="262"/>
      <c r="HB301" s="262"/>
      <c r="HC301" s="262"/>
      <c r="HD301" s="262"/>
      <c r="HE301" s="262"/>
      <c r="HF301" s="262"/>
      <c r="HG301" s="262"/>
      <c r="HH301" s="262"/>
      <c r="HI301" s="262"/>
      <c r="HJ301" s="262"/>
      <c r="HK301" s="262"/>
      <c r="HL301" s="262"/>
      <c r="HM301" s="262"/>
      <c r="HN301" s="262"/>
      <c r="HO301" s="262"/>
      <c r="HP301" s="265"/>
      <c r="HQ301" s="265"/>
      <c r="HR301" s="265"/>
      <c r="HS301" s="265"/>
      <c r="HT301" s="265"/>
      <c r="HU301" s="265"/>
      <c r="HV301" s="265"/>
      <c r="HW301" s="265"/>
      <c r="HX301" s="265"/>
      <c r="HY301" s="265"/>
      <c r="HZ301" s="265"/>
      <c r="IA301" s="265"/>
      <c r="IB301" s="265"/>
      <c r="IC301" s="265"/>
      <c r="ID301" s="265"/>
      <c r="IE301" s="265"/>
      <c r="IF301" s="265"/>
      <c r="IG301" s="265"/>
      <c r="IH301" s="265"/>
      <c r="II301" s="265"/>
      <c r="IJ301" s="265"/>
      <c r="IK301" s="265"/>
      <c r="IL301" s="265"/>
      <c r="IM301" s="265"/>
      <c r="IN301" s="265"/>
      <c r="IO301" s="265"/>
      <c r="IP301" s="265"/>
      <c r="IQ301" s="265"/>
      <c r="IR301" s="265"/>
    </row>
    <row r="302" spans="1:27" s="207" customFormat="1" ht="24" customHeight="1">
      <c r="A302" s="234" t="s">
        <v>574</v>
      </c>
      <c r="B302" s="235">
        <f aca="true" t="shared" si="97" ref="B302:G302">SUM(B303)</f>
        <v>423</v>
      </c>
      <c r="C302" s="235">
        <f t="shared" si="97"/>
        <v>423</v>
      </c>
      <c r="D302" s="235">
        <f t="shared" si="97"/>
        <v>0</v>
      </c>
      <c r="E302" s="235">
        <f t="shared" si="97"/>
        <v>422</v>
      </c>
      <c r="F302" s="235">
        <f t="shared" si="97"/>
        <v>422</v>
      </c>
      <c r="G302" s="235">
        <f t="shared" si="97"/>
        <v>0</v>
      </c>
      <c r="H302" s="231">
        <f t="shared" si="84"/>
        <v>0.9976359338061466</v>
      </c>
      <c r="I302" s="249"/>
      <c r="J302" s="250"/>
      <c r="O302" s="251"/>
      <c r="P302" s="252"/>
      <c r="AA302" s="254">
        <f t="shared" si="93"/>
        <v>0</v>
      </c>
    </row>
    <row r="303" spans="1:27" s="207" customFormat="1" ht="24" customHeight="1">
      <c r="A303" s="234" t="s">
        <v>575</v>
      </c>
      <c r="B303" s="235">
        <v>423</v>
      </c>
      <c r="C303" s="235">
        <v>423</v>
      </c>
      <c r="D303" s="235"/>
      <c r="E303" s="235">
        <v>422</v>
      </c>
      <c r="F303" s="235">
        <v>422</v>
      </c>
      <c r="G303" s="235"/>
      <c r="H303" s="231">
        <f t="shared" si="84"/>
        <v>0.9976359338061466</v>
      </c>
      <c r="I303" s="255"/>
      <c r="O303" s="251"/>
      <c r="P303" s="252"/>
      <c r="AA303" s="254">
        <f t="shared" si="93"/>
        <v>0</v>
      </c>
    </row>
    <row r="304" spans="1:27" s="207" customFormat="1" ht="24" customHeight="1">
      <c r="A304" s="234" t="s">
        <v>576</v>
      </c>
      <c r="B304" s="235"/>
      <c r="C304" s="235"/>
      <c r="D304" s="235"/>
      <c r="E304" s="235"/>
      <c r="F304" s="235"/>
      <c r="G304" s="235"/>
      <c r="H304" s="231" t="e">
        <f t="shared" si="84"/>
        <v>#DIV/0!</v>
      </c>
      <c r="I304" s="249"/>
      <c r="J304" s="250"/>
      <c r="O304" s="251"/>
      <c r="P304" s="252"/>
      <c r="AA304" s="254">
        <f t="shared" si="93"/>
        <v>0</v>
      </c>
    </row>
    <row r="305" spans="1:252" s="206" customFormat="1" ht="24" customHeight="1">
      <c r="A305" s="234" t="s">
        <v>577</v>
      </c>
      <c r="B305" s="235"/>
      <c r="C305" s="235"/>
      <c r="D305" s="235"/>
      <c r="E305" s="235"/>
      <c r="F305" s="235"/>
      <c r="G305" s="235"/>
      <c r="H305" s="231" t="e">
        <f t="shared" si="84"/>
        <v>#DIV/0!</v>
      </c>
      <c r="I305" s="255"/>
      <c r="J305" s="254"/>
      <c r="K305" s="254"/>
      <c r="L305" s="254"/>
      <c r="M305" s="254"/>
      <c r="N305" s="254"/>
      <c r="O305" s="251"/>
      <c r="P305" s="252"/>
      <c r="Q305" s="207"/>
      <c r="R305" s="207"/>
      <c r="S305" s="207"/>
      <c r="T305" s="207"/>
      <c r="U305" s="207"/>
      <c r="V305" s="207"/>
      <c r="W305" s="207"/>
      <c r="X305" s="262"/>
      <c r="Y305" s="262"/>
      <c r="Z305" s="262"/>
      <c r="AA305" s="254">
        <f t="shared" si="93"/>
        <v>0</v>
      </c>
      <c r="AB305" s="262"/>
      <c r="AC305" s="262"/>
      <c r="AD305" s="262"/>
      <c r="AE305" s="262"/>
      <c r="AF305" s="262"/>
      <c r="AG305" s="262"/>
      <c r="AH305" s="262"/>
      <c r="AI305" s="262"/>
      <c r="AJ305" s="262"/>
      <c r="AK305" s="262"/>
      <c r="AL305" s="262"/>
      <c r="AM305" s="262"/>
      <c r="AN305" s="262"/>
      <c r="AO305" s="262"/>
      <c r="AP305" s="262"/>
      <c r="AQ305" s="262"/>
      <c r="AR305" s="262"/>
      <c r="AS305" s="262"/>
      <c r="AT305" s="262"/>
      <c r="AU305" s="262"/>
      <c r="AV305" s="262"/>
      <c r="AW305" s="262"/>
      <c r="AX305" s="262"/>
      <c r="AY305" s="262"/>
      <c r="AZ305" s="262"/>
      <c r="BA305" s="262"/>
      <c r="BB305" s="262"/>
      <c r="BC305" s="262"/>
      <c r="BD305" s="262"/>
      <c r="BE305" s="262"/>
      <c r="BF305" s="262"/>
      <c r="BG305" s="262"/>
      <c r="BH305" s="262"/>
      <c r="BI305" s="262"/>
      <c r="BJ305" s="262"/>
      <c r="BK305" s="262"/>
      <c r="BL305" s="262"/>
      <c r="BM305" s="262"/>
      <c r="BN305" s="262"/>
      <c r="BO305" s="262"/>
      <c r="BP305" s="262"/>
      <c r="BQ305" s="262"/>
      <c r="BR305" s="262"/>
      <c r="BS305" s="262"/>
      <c r="BT305" s="262"/>
      <c r="BU305" s="262"/>
      <c r="BV305" s="262"/>
      <c r="BW305" s="262"/>
      <c r="BX305" s="262"/>
      <c r="BY305" s="262"/>
      <c r="BZ305" s="262"/>
      <c r="CA305" s="262"/>
      <c r="CB305" s="262"/>
      <c r="CC305" s="262"/>
      <c r="CD305" s="262"/>
      <c r="CE305" s="262"/>
      <c r="CF305" s="262"/>
      <c r="CG305" s="262"/>
      <c r="CH305" s="262"/>
      <c r="CI305" s="262"/>
      <c r="CJ305" s="262"/>
      <c r="CK305" s="262"/>
      <c r="CL305" s="262"/>
      <c r="CM305" s="262"/>
      <c r="CN305" s="262"/>
      <c r="CO305" s="262"/>
      <c r="CP305" s="262"/>
      <c r="CQ305" s="262"/>
      <c r="CR305" s="262"/>
      <c r="CS305" s="262"/>
      <c r="CT305" s="262"/>
      <c r="CU305" s="262"/>
      <c r="CV305" s="262"/>
      <c r="CW305" s="262"/>
      <c r="CX305" s="262"/>
      <c r="CY305" s="262"/>
      <c r="CZ305" s="262"/>
      <c r="DA305" s="262"/>
      <c r="DB305" s="262"/>
      <c r="DC305" s="262"/>
      <c r="DD305" s="262"/>
      <c r="DE305" s="262"/>
      <c r="DF305" s="262"/>
      <c r="DG305" s="262"/>
      <c r="DH305" s="262"/>
      <c r="DI305" s="262"/>
      <c r="DJ305" s="262"/>
      <c r="DK305" s="262"/>
      <c r="DL305" s="262"/>
      <c r="DM305" s="262"/>
      <c r="DN305" s="262"/>
      <c r="DO305" s="262"/>
      <c r="DP305" s="262"/>
      <c r="DQ305" s="262"/>
      <c r="DR305" s="262"/>
      <c r="DS305" s="262"/>
      <c r="DT305" s="262"/>
      <c r="DU305" s="262"/>
      <c r="DV305" s="262"/>
      <c r="DW305" s="262"/>
      <c r="DX305" s="262"/>
      <c r="DY305" s="262"/>
      <c r="DZ305" s="262"/>
      <c r="EA305" s="262"/>
      <c r="EB305" s="262"/>
      <c r="EC305" s="262"/>
      <c r="ED305" s="262"/>
      <c r="EE305" s="262"/>
      <c r="EF305" s="262"/>
      <c r="EG305" s="262"/>
      <c r="EH305" s="262"/>
      <c r="EI305" s="262"/>
      <c r="EJ305" s="262"/>
      <c r="EK305" s="262"/>
      <c r="EL305" s="262"/>
      <c r="EM305" s="262"/>
      <c r="EN305" s="262"/>
      <c r="EO305" s="262"/>
      <c r="EP305" s="262"/>
      <c r="EQ305" s="262"/>
      <c r="ER305" s="262"/>
      <c r="ES305" s="262"/>
      <c r="ET305" s="262"/>
      <c r="EU305" s="262"/>
      <c r="EV305" s="262"/>
      <c r="EW305" s="262"/>
      <c r="EX305" s="262"/>
      <c r="EY305" s="262"/>
      <c r="EZ305" s="262"/>
      <c r="FA305" s="262"/>
      <c r="FB305" s="262"/>
      <c r="FC305" s="262"/>
      <c r="FD305" s="262"/>
      <c r="FE305" s="262"/>
      <c r="FF305" s="262"/>
      <c r="FG305" s="262"/>
      <c r="FH305" s="262"/>
      <c r="FI305" s="262"/>
      <c r="FJ305" s="262"/>
      <c r="FK305" s="262"/>
      <c r="FL305" s="262"/>
      <c r="FM305" s="262"/>
      <c r="FN305" s="262"/>
      <c r="FO305" s="262"/>
      <c r="FP305" s="262"/>
      <c r="FQ305" s="262"/>
      <c r="FR305" s="262"/>
      <c r="FS305" s="262"/>
      <c r="FT305" s="262"/>
      <c r="FU305" s="262"/>
      <c r="FV305" s="262"/>
      <c r="FW305" s="262"/>
      <c r="FX305" s="262"/>
      <c r="FY305" s="262"/>
      <c r="FZ305" s="262"/>
      <c r="GA305" s="262"/>
      <c r="GB305" s="262"/>
      <c r="GC305" s="262"/>
      <c r="GD305" s="262"/>
      <c r="GE305" s="262"/>
      <c r="GF305" s="262"/>
      <c r="GG305" s="262"/>
      <c r="GH305" s="262"/>
      <c r="GI305" s="262"/>
      <c r="GJ305" s="262"/>
      <c r="GK305" s="262"/>
      <c r="GL305" s="262"/>
      <c r="GM305" s="262"/>
      <c r="GN305" s="262"/>
      <c r="GO305" s="262"/>
      <c r="GP305" s="262"/>
      <c r="GQ305" s="262"/>
      <c r="GR305" s="262"/>
      <c r="GS305" s="262"/>
      <c r="GT305" s="262"/>
      <c r="GU305" s="262"/>
      <c r="GV305" s="262"/>
      <c r="GW305" s="262"/>
      <c r="GX305" s="262"/>
      <c r="GY305" s="262"/>
      <c r="GZ305" s="262"/>
      <c r="HA305" s="262"/>
      <c r="HB305" s="262"/>
      <c r="HC305" s="262"/>
      <c r="HD305" s="262"/>
      <c r="HE305" s="262"/>
      <c r="HF305" s="262"/>
      <c r="HG305" s="262"/>
      <c r="HH305" s="262"/>
      <c r="HI305" s="262"/>
      <c r="HJ305" s="262"/>
      <c r="HK305" s="262"/>
      <c r="HL305" s="262"/>
      <c r="HM305" s="262"/>
      <c r="HN305" s="262"/>
      <c r="HO305" s="262"/>
      <c r="HP305" s="265"/>
      <c r="HQ305" s="265"/>
      <c r="HR305" s="265"/>
      <c r="HS305" s="265"/>
      <c r="HT305" s="265"/>
      <c r="HU305" s="265"/>
      <c r="HV305" s="265"/>
      <c r="HW305" s="265"/>
      <c r="HX305" s="265"/>
      <c r="HY305" s="265"/>
      <c r="HZ305" s="265"/>
      <c r="IA305" s="265"/>
      <c r="IB305" s="265"/>
      <c r="IC305" s="265"/>
      <c r="ID305" s="265"/>
      <c r="IE305" s="265"/>
      <c r="IF305" s="265"/>
      <c r="IG305" s="265"/>
      <c r="IH305" s="265"/>
      <c r="II305" s="265"/>
      <c r="IJ305" s="265"/>
      <c r="IK305" s="265"/>
      <c r="IL305" s="265"/>
      <c r="IM305" s="265"/>
      <c r="IN305" s="265"/>
      <c r="IO305" s="265"/>
      <c r="IP305" s="265"/>
      <c r="IQ305" s="265"/>
      <c r="IR305" s="265"/>
    </row>
    <row r="306" spans="1:252" s="208" customFormat="1" ht="24" customHeight="1">
      <c r="A306" s="232" t="s">
        <v>578</v>
      </c>
      <c r="B306" s="233">
        <f aca="true" t="shared" si="98" ref="B306:G306">B307+B321+B336+B345+B350+B354+B357+B360</f>
        <v>8534</v>
      </c>
      <c r="C306" s="233">
        <f t="shared" si="98"/>
        <v>8534</v>
      </c>
      <c r="D306" s="233">
        <f t="shared" si="98"/>
        <v>3965</v>
      </c>
      <c r="E306" s="233">
        <f t="shared" si="98"/>
        <v>10496</v>
      </c>
      <c r="F306" s="233">
        <f t="shared" si="98"/>
        <v>10496</v>
      </c>
      <c r="G306" s="233">
        <f t="shared" si="98"/>
        <v>5834</v>
      </c>
      <c r="H306" s="231">
        <f t="shared" si="84"/>
        <v>1.2299039137567378</v>
      </c>
      <c r="I306" s="245"/>
      <c r="J306" s="246"/>
      <c r="K306" s="263"/>
      <c r="L306" s="263"/>
      <c r="M306" s="263"/>
      <c r="N306" s="263"/>
      <c r="O306" s="247"/>
      <c r="P306" s="248"/>
      <c r="Q306" s="261"/>
      <c r="R306" s="261"/>
      <c r="S306" s="205"/>
      <c r="T306" s="205"/>
      <c r="U306" s="205"/>
      <c r="V306" s="205"/>
      <c r="W306" s="205"/>
      <c r="X306" s="279"/>
      <c r="Y306" s="279"/>
      <c r="Z306" s="279"/>
      <c r="AA306" s="263">
        <f t="shared" si="93"/>
        <v>0</v>
      </c>
      <c r="AB306" s="279"/>
      <c r="AC306" s="279"/>
      <c r="AD306" s="279"/>
      <c r="AE306" s="279"/>
      <c r="AF306" s="279"/>
      <c r="AG306" s="279"/>
      <c r="AH306" s="279"/>
      <c r="AI306" s="279"/>
      <c r="AJ306" s="279"/>
      <c r="AK306" s="279"/>
      <c r="AL306" s="279"/>
      <c r="AM306" s="279"/>
      <c r="AN306" s="279"/>
      <c r="AO306" s="279"/>
      <c r="AP306" s="279"/>
      <c r="AQ306" s="279"/>
      <c r="AR306" s="279"/>
      <c r="AS306" s="279"/>
      <c r="AT306" s="279"/>
      <c r="AU306" s="279"/>
      <c r="AV306" s="279"/>
      <c r="AW306" s="279"/>
      <c r="AX306" s="279"/>
      <c r="AY306" s="279"/>
      <c r="AZ306" s="279"/>
      <c r="BA306" s="279"/>
      <c r="BB306" s="279"/>
      <c r="BC306" s="279"/>
      <c r="BD306" s="279"/>
      <c r="BE306" s="279"/>
      <c r="BF306" s="279"/>
      <c r="BG306" s="279"/>
      <c r="BH306" s="279"/>
      <c r="BI306" s="279"/>
      <c r="BJ306" s="279"/>
      <c r="BK306" s="279"/>
      <c r="BL306" s="279"/>
      <c r="BM306" s="279"/>
      <c r="BN306" s="279"/>
      <c r="BO306" s="279"/>
      <c r="BP306" s="279"/>
      <c r="BQ306" s="279"/>
      <c r="BR306" s="279"/>
      <c r="BS306" s="279"/>
      <c r="BT306" s="279"/>
      <c r="BU306" s="279"/>
      <c r="BV306" s="279"/>
      <c r="BW306" s="279"/>
      <c r="BX306" s="279"/>
      <c r="BY306" s="279"/>
      <c r="BZ306" s="279"/>
      <c r="CA306" s="279"/>
      <c r="CB306" s="279"/>
      <c r="CC306" s="279"/>
      <c r="CD306" s="279"/>
      <c r="CE306" s="279"/>
      <c r="CF306" s="279"/>
      <c r="CG306" s="279"/>
      <c r="CH306" s="279"/>
      <c r="CI306" s="279"/>
      <c r="CJ306" s="279"/>
      <c r="CK306" s="279"/>
      <c r="CL306" s="279"/>
      <c r="CM306" s="279"/>
      <c r="CN306" s="279"/>
      <c r="CO306" s="279"/>
      <c r="CP306" s="279"/>
      <c r="CQ306" s="279"/>
      <c r="CR306" s="279"/>
      <c r="CS306" s="279"/>
      <c r="CT306" s="279"/>
      <c r="CU306" s="279"/>
      <c r="CV306" s="279"/>
      <c r="CW306" s="279"/>
      <c r="CX306" s="279"/>
      <c r="CY306" s="279"/>
      <c r="CZ306" s="279"/>
      <c r="DA306" s="279"/>
      <c r="DB306" s="279"/>
      <c r="DC306" s="279"/>
      <c r="DD306" s="279"/>
      <c r="DE306" s="279"/>
      <c r="DF306" s="279"/>
      <c r="DG306" s="279"/>
      <c r="DH306" s="279"/>
      <c r="DI306" s="279"/>
      <c r="DJ306" s="279"/>
      <c r="DK306" s="279"/>
      <c r="DL306" s="279"/>
      <c r="DM306" s="279"/>
      <c r="DN306" s="279"/>
      <c r="DO306" s="279"/>
      <c r="DP306" s="279"/>
      <c r="DQ306" s="279"/>
      <c r="DR306" s="279"/>
      <c r="DS306" s="279"/>
      <c r="DT306" s="279"/>
      <c r="DU306" s="279"/>
      <c r="DV306" s="279"/>
      <c r="DW306" s="279"/>
      <c r="DX306" s="279"/>
      <c r="DY306" s="279"/>
      <c r="DZ306" s="279"/>
      <c r="EA306" s="279"/>
      <c r="EB306" s="279"/>
      <c r="EC306" s="279"/>
      <c r="ED306" s="279"/>
      <c r="EE306" s="279"/>
      <c r="EF306" s="279"/>
      <c r="EG306" s="279"/>
      <c r="EH306" s="279"/>
      <c r="EI306" s="279"/>
      <c r="EJ306" s="279"/>
      <c r="EK306" s="279"/>
      <c r="EL306" s="279"/>
      <c r="EM306" s="279"/>
      <c r="EN306" s="279"/>
      <c r="EO306" s="279"/>
      <c r="EP306" s="279"/>
      <c r="EQ306" s="279"/>
      <c r="ER306" s="279"/>
      <c r="ES306" s="279"/>
      <c r="ET306" s="279"/>
      <c r="EU306" s="279"/>
      <c r="EV306" s="279"/>
      <c r="EW306" s="279"/>
      <c r="EX306" s="279"/>
      <c r="EY306" s="279"/>
      <c r="EZ306" s="279"/>
      <c r="FA306" s="279"/>
      <c r="FB306" s="279"/>
      <c r="FC306" s="279"/>
      <c r="FD306" s="279"/>
      <c r="FE306" s="279"/>
      <c r="FF306" s="279"/>
      <c r="FG306" s="279"/>
      <c r="FH306" s="279"/>
      <c r="FI306" s="279"/>
      <c r="FJ306" s="279"/>
      <c r="FK306" s="279"/>
      <c r="FL306" s="279"/>
      <c r="FM306" s="279"/>
      <c r="FN306" s="279"/>
      <c r="FO306" s="279"/>
      <c r="FP306" s="279"/>
      <c r="FQ306" s="279"/>
      <c r="FR306" s="279"/>
      <c r="FS306" s="279"/>
      <c r="FT306" s="279"/>
      <c r="FU306" s="279"/>
      <c r="FV306" s="279"/>
      <c r="FW306" s="279"/>
      <c r="FX306" s="279"/>
      <c r="FY306" s="279"/>
      <c r="FZ306" s="279"/>
      <c r="GA306" s="279"/>
      <c r="GB306" s="279"/>
      <c r="GC306" s="279"/>
      <c r="GD306" s="279"/>
      <c r="GE306" s="279"/>
      <c r="GF306" s="279"/>
      <c r="GG306" s="279"/>
      <c r="GH306" s="279"/>
      <c r="GI306" s="279"/>
      <c r="GJ306" s="279"/>
      <c r="GK306" s="279"/>
      <c r="GL306" s="279"/>
      <c r="GM306" s="279"/>
      <c r="GN306" s="279"/>
      <c r="GO306" s="279"/>
      <c r="GP306" s="279"/>
      <c r="GQ306" s="279"/>
      <c r="GR306" s="279"/>
      <c r="GS306" s="279"/>
      <c r="GT306" s="279"/>
      <c r="GU306" s="279"/>
      <c r="GV306" s="279"/>
      <c r="GW306" s="279"/>
      <c r="GX306" s="279"/>
      <c r="GY306" s="279"/>
      <c r="GZ306" s="279"/>
      <c r="HA306" s="279"/>
      <c r="HB306" s="279"/>
      <c r="HC306" s="279"/>
      <c r="HD306" s="279"/>
      <c r="HE306" s="279"/>
      <c r="HF306" s="279"/>
      <c r="HG306" s="279"/>
      <c r="HH306" s="279"/>
      <c r="HI306" s="279"/>
      <c r="HJ306" s="279"/>
      <c r="HK306" s="279"/>
      <c r="HL306" s="279"/>
      <c r="HM306" s="279"/>
      <c r="HN306" s="279"/>
      <c r="HO306" s="279"/>
      <c r="HP306" s="280"/>
      <c r="HQ306" s="280"/>
      <c r="HR306" s="280"/>
      <c r="HS306" s="280"/>
      <c r="HT306" s="280"/>
      <c r="HU306" s="280"/>
      <c r="HV306" s="280"/>
      <c r="HW306" s="280"/>
      <c r="HX306" s="280"/>
      <c r="HY306" s="280"/>
      <c r="HZ306" s="280"/>
      <c r="IA306" s="280"/>
      <c r="IB306" s="280"/>
      <c r="IC306" s="280"/>
      <c r="ID306" s="280"/>
      <c r="IE306" s="280"/>
      <c r="IF306" s="280"/>
      <c r="IG306" s="280"/>
      <c r="IH306" s="280"/>
      <c r="II306" s="280"/>
      <c r="IJ306" s="280"/>
      <c r="IK306" s="280"/>
      <c r="IL306" s="280"/>
      <c r="IM306" s="280"/>
      <c r="IN306" s="280"/>
      <c r="IO306" s="280"/>
      <c r="IP306" s="280"/>
      <c r="IQ306" s="280"/>
      <c r="IR306" s="280"/>
    </row>
    <row r="307" spans="1:27" s="207" customFormat="1" ht="24" customHeight="1">
      <c r="A307" s="234" t="s">
        <v>579</v>
      </c>
      <c r="B307" s="235">
        <f aca="true" t="shared" si="99" ref="B307:G307">SUM(B308:B320)</f>
        <v>1844</v>
      </c>
      <c r="C307" s="235">
        <f t="shared" si="99"/>
        <v>1844</v>
      </c>
      <c r="D307" s="235">
        <f t="shared" si="99"/>
        <v>872</v>
      </c>
      <c r="E307" s="235">
        <f t="shared" si="99"/>
        <v>1594</v>
      </c>
      <c r="F307" s="235">
        <f t="shared" si="99"/>
        <v>1594</v>
      </c>
      <c r="G307" s="235">
        <f t="shared" si="99"/>
        <v>1223</v>
      </c>
      <c r="H307" s="231">
        <f t="shared" si="84"/>
        <v>0.8644251626898047</v>
      </c>
      <c r="I307" s="249"/>
      <c r="J307" s="250"/>
      <c r="O307" s="251"/>
      <c r="P307" s="252"/>
      <c r="Q307" s="268"/>
      <c r="R307" s="268"/>
      <c r="T307" s="206"/>
      <c r="AA307" s="254">
        <f t="shared" si="93"/>
        <v>0</v>
      </c>
    </row>
    <row r="308" spans="1:27" s="207" customFormat="1" ht="24" customHeight="1">
      <c r="A308" s="234" t="s">
        <v>580</v>
      </c>
      <c r="B308" s="235">
        <v>677</v>
      </c>
      <c r="C308" s="235">
        <f>640+13+24</f>
        <v>677</v>
      </c>
      <c r="D308" s="235"/>
      <c r="E308" s="235">
        <v>532</v>
      </c>
      <c r="F308" s="235">
        <f>451+59+22</f>
        <v>532</v>
      </c>
      <c r="G308" s="235"/>
      <c r="H308" s="231">
        <f t="shared" si="84"/>
        <v>0.7858197932053176</v>
      </c>
      <c r="I308" s="255"/>
      <c r="O308" s="251"/>
      <c r="P308" s="252"/>
      <c r="T308" s="206"/>
      <c r="AA308" s="254">
        <f t="shared" si="93"/>
        <v>0</v>
      </c>
    </row>
    <row r="309" spans="1:27" s="207" customFormat="1" ht="27.75" customHeight="1">
      <c r="A309" s="234" t="s">
        <v>581</v>
      </c>
      <c r="B309" s="235"/>
      <c r="C309" s="235"/>
      <c r="D309" s="235"/>
      <c r="E309" s="235"/>
      <c r="F309" s="235"/>
      <c r="G309" s="235"/>
      <c r="H309" s="231" t="e">
        <f t="shared" si="84"/>
        <v>#DIV/0!</v>
      </c>
      <c r="I309" s="255"/>
      <c r="O309" s="251"/>
      <c r="P309" s="252"/>
      <c r="AA309" s="254">
        <f t="shared" si="93"/>
        <v>0</v>
      </c>
    </row>
    <row r="310" spans="1:27" s="207" customFormat="1" ht="24" customHeight="1">
      <c r="A310" s="234" t="s">
        <v>582</v>
      </c>
      <c r="B310" s="235">
        <v>828</v>
      </c>
      <c r="C310" s="235">
        <v>828</v>
      </c>
      <c r="D310" s="235"/>
      <c r="E310" s="235">
        <v>779</v>
      </c>
      <c r="F310" s="235">
        <f>776+3</f>
        <v>779</v>
      </c>
      <c r="G310" s="235"/>
      <c r="H310" s="231">
        <f t="shared" si="84"/>
        <v>0.9408212560386473</v>
      </c>
      <c r="I310" s="255"/>
      <c r="O310" s="251"/>
      <c r="P310" s="252"/>
      <c r="AA310" s="254">
        <f t="shared" si="93"/>
        <v>0</v>
      </c>
    </row>
    <row r="311" spans="1:27" s="207" customFormat="1" ht="24" customHeight="1">
      <c r="A311" s="234" t="s">
        <v>583</v>
      </c>
      <c r="B311" s="235" t="s">
        <v>584</v>
      </c>
      <c r="C311" s="235"/>
      <c r="D311" s="235">
        <v>50</v>
      </c>
      <c r="E311" s="235" t="s">
        <v>584</v>
      </c>
      <c r="F311" s="235"/>
      <c r="G311" s="235"/>
      <c r="H311" s="231" t="e">
        <f t="shared" si="84"/>
        <v>#VALUE!</v>
      </c>
      <c r="I311" s="255"/>
      <c r="O311" s="251"/>
      <c r="P311" s="234"/>
      <c r="AA311" s="254" t="e">
        <f t="shared" si="93"/>
        <v>#VALUE!</v>
      </c>
    </row>
    <row r="312" spans="1:27" s="207" customFormat="1" ht="24" customHeight="1">
      <c r="A312" s="234" t="s">
        <v>585</v>
      </c>
      <c r="B312" s="235"/>
      <c r="C312" s="235"/>
      <c r="D312" s="235">
        <v>4</v>
      </c>
      <c r="E312" s="235"/>
      <c r="F312" s="235"/>
      <c r="G312" s="235">
        <v>13</v>
      </c>
      <c r="H312" s="231" t="e">
        <f t="shared" si="84"/>
        <v>#DIV/0!</v>
      </c>
      <c r="I312" s="255" t="s">
        <v>586</v>
      </c>
      <c r="O312" s="251"/>
      <c r="P312" s="252"/>
      <c r="AA312" s="254">
        <f t="shared" si="93"/>
        <v>0</v>
      </c>
    </row>
    <row r="313" spans="1:27" s="207" customFormat="1" ht="24" customHeight="1">
      <c r="A313" s="234" t="s">
        <v>587</v>
      </c>
      <c r="B313" s="235">
        <v>50</v>
      </c>
      <c r="C313" s="235">
        <v>50</v>
      </c>
      <c r="D313" s="235"/>
      <c r="E313" s="235">
        <v>45</v>
      </c>
      <c r="F313" s="235">
        <v>45</v>
      </c>
      <c r="G313" s="235"/>
      <c r="H313" s="231">
        <f t="shared" si="84"/>
        <v>0.9</v>
      </c>
      <c r="I313" s="255" t="s">
        <v>588</v>
      </c>
      <c r="O313" s="251"/>
      <c r="P313" s="252"/>
      <c r="AA313" s="254">
        <f t="shared" si="93"/>
        <v>0</v>
      </c>
    </row>
    <row r="314" spans="1:27" s="207" customFormat="1" ht="24" customHeight="1">
      <c r="A314" s="234" t="s">
        <v>589</v>
      </c>
      <c r="B314" s="235"/>
      <c r="C314" s="235"/>
      <c r="D314" s="235">
        <v>307</v>
      </c>
      <c r="E314" s="235"/>
      <c r="F314" s="235"/>
      <c r="G314" s="235">
        <v>83</v>
      </c>
      <c r="H314" s="231" t="e">
        <f t="shared" si="84"/>
        <v>#DIV/0!</v>
      </c>
      <c r="I314" s="255"/>
      <c r="O314" s="251"/>
      <c r="P314" s="234"/>
      <c r="AA314" s="254">
        <f t="shared" si="93"/>
        <v>0</v>
      </c>
    </row>
    <row r="315" spans="1:27" s="207" customFormat="1" ht="27" customHeight="1">
      <c r="A315" s="234" t="s">
        <v>590</v>
      </c>
      <c r="B315" s="235"/>
      <c r="C315" s="235"/>
      <c r="D315" s="235"/>
      <c r="E315" s="235"/>
      <c r="F315" s="235"/>
      <c r="G315" s="235">
        <v>434</v>
      </c>
      <c r="H315" s="231" t="e">
        <f t="shared" si="84"/>
        <v>#DIV/0!</v>
      </c>
      <c r="I315" s="255"/>
      <c r="O315" s="251"/>
      <c r="P315" s="273"/>
      <c r="AA315" s="254"/>
    </row>
    <row r="316" spans="1:27" s="207" customFormat="1" ht="27" customHeight="1">
      <c r="A316" s="234" t="s">
        <v>591</v>
      </c>
      <c r="B316" s="235"/>
      <c r="C316" s="235"/>
      <c r="D316" s="235">
        <v>402</v>
      </c>
      <c r="E316" s="235"/>
      <c r="F316" s="235"/>
      <c r="G316" s="235"/>
      <c r="H316" s="231" t="e">
        <f t="shared" si="84"/>
        <v>#DIV/0!</v>
      </c>
      <c r="I316" s="255"/>
      <c r="O316" s="251"/>
      <c r="P316" s="252"/>
      <c r="AA316" s="254">
        <f t="shared" si="93"/>
        <v>0</v>
      </c>
    </row>
    <row r="317" spans="1:27" s="207" customFormat="1" ht="24" customHeight="1">
      <c r="A317" s="234" t="s">
        <v>592</v>
      </c>
      <c r="B317" s="235"/>
      <c r="C317" s="235"/>
      <c r="D317" s="235"/>
      <c r="E317" s="235"/>
      <c r="F317" s="235"/>
      <c r="G317" s="235"/>
      <c r="H317" s="231" t="e">
        <f t="shared" si="84"/>
        <v>#DIV/0!</v>
      </c>
      <c r="I317" s="255"/>
      <c r="O317" s="251"/>
      <c r="P317" s="252"/>
      <c r="AA317" s="254">
        <f t="shared" si="93"/>
        <v>0</v>
      </c>
    </row>
    <row r="318" spans="1:252" s="207" customFormat="1" ht="24" customHeight="1">
      <c r="A318" s="234" t="s">
        <v>593</v>
      </c>
      <c r="B318" s="235"/>
      <c r="C318" s="235"/>
      <c r="D318" s="235"/>
      <c r="E318" s="235"/>
      <c r="F318" s="235"/>
      <c r="G318" s="235"/>
      <c r="H318" s="231" t="e">
        <f t="shared" si="84"/>
        <v>#DIV/0!</v>
      </c>
      <c r="I318" s="255"/>
      <c r="J318" s="254"/>
      <c r="K318" s="254"/>
      <c r="L318" s="254"/>
      <c r="M318" s="254"/>
      <c r="N318" s="254"/>
      <c r="O318" s="251"/>
      <c r="P318" s="252"/>
      <c r="X318" s="262"/>
      <c r="Y318" s="262"/>
      <c r="Z318" s="262"/>
      <c r="AA318" s="254">
        <f t="shared" si="93"/>
        <v>0</v>
      </c>
      <c r="AB318" s="262"/>
      <c r="AC318" s="262"/>
      <c r="AD318" s="262"/>
      <c r="AE318" s="262"/>
      <c r="AF318" s="262"/>
      <c r="AG318" s="262"/>
      <c r="AH318" s="262"/>
      <c r="AI318" s="262"/>
      <c r="AJ318" s="262"/>
      <c r="AK318" s="262"/>
      <c r="AL318" s="262"/>
      <c r="AM318" s="262"/>
      <c r="AN318" s="262"/>
      <c r="AO318" s="262"/>
      <c r="AP318" s="262"/>
      <c r="AQ318" s="262"/>
      <c r="AR318" s="262"/>
      <c r="AS318" s="262"/>
      <c r="AT318" s="262"/>
      <c r="AU318" s="262"/>
      <c r="AV318" s="262"/>
      <c r="AW318" s="262"/>
      <c r="AX318" s="262"/>
      <c r="AY318" s="262"/>
      <c r="AZ318" s="262"/>
      <c r="BA318" s="262"/>
      <c r="BB318" s="262"/>
      <c r="BC318" s="262"/>
      <c r="BD318" s="262"/>
      <c r="BE318" s="262"/>
      <c r="BF318" s="262"/>
      <c r="BG318" s="262"/>
      <c r="BH318" s="262"/>
      <c r="BI318" s="262"/>
      <c r="BJ318" s="262"/>
      <c r="BK318" s="262"/>
      <c r="BL318" s="262"/>
      <c r="BM318" s="262"/>
      <c r="BN318" s="262"/>
      <c r="BO318" s="262"/>
      <c r="BP318" s="262"/>
      <c r="BQ318" s="262"/>
      <c r="BR318" s="262"/>
      <c r="BS318" s="262"/>
      <c r="BT318" s="262"/>
      <c r="BU318" s="262"/>
      <c r="BV318" s="262"/>
      <c r="BW318" s="262"/>
      <c r="BX318" s="262"/>
      <c r="BY318" s="262"/>
      <c r="BZ318" s="262"/>
      <c r="CA318" s="262"/>
      <c r="CB318" s="262"/>
      <c r="CC318" s="262"/>
      <c r="CD318" s="262"/>
      <c r="CE318" s="262"/>
      <c r="CF318" s="262"/>
      <c r="CG318" s="262"/>
      <c r="CH318" s="262"/>
      <c r="CI318" s="262"/>
      <c r="CJ318" s="262"/>
      <c r="CK318" s="262"/>
      <c r="CL318" s="262"/>
      <c r="CM318" s="262"/>
      <c r="CN318" s="262"/>
      <c r="CO318" s="262"/>
      <c r="CP318" s="262"/>
      <c r="CQ318" s="262"/>
      <c r="CR318" s="262"/>
      <c r="CS318" s="262"/>
      <c r="CT318" s="262"/>
      <c r="CU318" s="262"/>
      <c r="CV318" s="262"/>
      <c r="CW318" s="262"/>
      <c r="CX318" s="262"/>
      <c r="CY318" s="262"/>
      <c r="CZ318" s="262"/>
      <c r="DA318" s="262"/>
      <c r="DB318" s="262"/>
      <c r="DC318" s="262"/>
      <c r="DD318" s="262"/>
      <c r="DE318" s="262"/>
      <c r="DF318" s="262"/>
      <c r="DG318" s="262"/>
      <c r="DH318" s="262"/>
      <c r="DI318" s="262"/>
      <c r="DJ318" s="262"/>
      <c r="DK318" s="262"/>
      <c r="DL318" s="262"/>
      <c r="DM318" s="262"/>
      <c r="DN318" s="262"/>
      <c r="DO318" s="262"/>
      <c r="DP318" s="262"/>
      <c r="DQ318" s="262"/>
      <c r="DR318" s="262"/>
      <c r="DS318" s="262"/>
      <c r="DT318" s="262"/>
      <c r="DU318" s="262"/>
      <c r="DV318" s="262"/>
      <c r="DW318" s="262"/>
      <c r="DX318" s="262"/>
      <c r="DY318" s="262"/>
      <c r="DZ318" s="262"/>
      <c r="EA318" s="262"/>
      <c r="EB318" s="262"/>
      <c r="EC318" s="262"/>
      <c r="ED318" s="262"/>
      <c r="EE318" s="262"/>
      <c r="EF318" s="262"/>
      <c r="EG318" s="262"/>
      <c r="EH318" s="262"/>
      <c r="EI318" s="262"/>
      <c r="EJ318" s="262"/>
      <c r="EK318" s="262"/>
      <c r="EL318" s="262"/>
      <c r="EM318" s="262"/>
      <c r="EN318" s="262"/>
      <c r="EO318" s="262"/>
      <c r="EP318" s="262"/>
      <c r="EQ318" s="262"/>
      <c r="ER318" s="262"/>
      <c r="ES318" s="262"/>
      <c r="ET318" s="262"/>
      <c r="EU318" s="262"/>
      <c r="EV318" s="262"/>
      <c r="EW318" s="262"/>
      <c r="EX318" s="262"/>
      <c r="EY318" s="262"/>
      <c r="EZ318" s="262"/>
      <c r="FA318" s="262"/>
      <c r="FB318" s="262"/>
      <c r="FC318" s="262"/>
      <c r="FD318" s="262"/>
      <c r="FE318" s="262"/>
      <c r="FF318" s="262"/>
      <c r="FG318" s="262"/>
      <c r="FH318" s="262"/>
      <c r="FI318" s="262"/>
      <c r="FJ318" s="262"/>
      <c r="FK318" s="262"/>
      <c r="FL318" s="262"/>
      <c r="FM318" s="262"/>
      <c r="FN318" s="262"/>
      <c r="FO318" s="262"/>
      <c r="FP318" s="262"/>
      <c r="FQ318" s="262"/>
      <c r="FR318" s="262"/>
      <c r="FS318" s="262"/>
      <c r="FT318" s="262"/>
      <c r="FU318" s="262"/>
      <c r="FV318" s="262"/>
      <c r="FW318" s="262"/>
      <c r="FX318" s="262"/>
      <c r="FY318" s="262"/>
      <c r="FZ318" s="262"/>
      <c r="GA318" s="262"/>
      <c r="GB318" s="262"/>
      <c r="GC318" s="262"/>
      <c r="GD318" s="262"/>
      <c r="GE318" s="262"/>
      <c r="GF318" s="262"/>
      <c r="GG318" s="262"/>
      <c r="GH318" s="262"/>
      <c r="GI318" s="262"/>
      <c r="GJ318" s="262"/>
      <c r="GK318" s="262"/>
      <c r="GL318" s="262"/>
      <c r="GM318" s="262"/>
      <c r="GN318" s="262"/>
      <c r="GO318" s="262"/>
      <c r="GP318" s="262"/>
      <c r="GQ318" s="262"/>
      <c r="GR318" s="262"/>
      <c r="GS318" s="262"/>
      <c r="GT318" s="262"/>
      <c r="GU318" s="262"/>
      <c r="GV318" s="262"/>
      <c r="GW318" s="262"/>
      <c r="GX318" s="262"/>
      <c r="GY318" s="262"/>
      <c r="GZ318" s="262"/>
      <c r="HA318" s="262"/>
      <c r="HB318" s="262"/>
      <c r="HC318" s="262"/>
      <c r="HD318" s="262"/>
      <c r="HE318" s="262"/>
      <c r="HF318" s="262"/>
      <c r="HG318" s="262"/>
      <c r="HH318" s="262"/>
      <c r="HI318" s="262"/>
      <c r="HJ318" s="262"/>
      <c r="HK318" s="262"/>
      <c r="HL318" s="262"/>
      <c r="HM318" s="262"/>
      <c r="HN318" s="262"/>
      <c r="HO318" s="262"/>
      <c r="HP318" s="265"/>
      <c r="HQ318" s="265"/>
      <c r="HR318" s="265"/>
      <c r="HS318" s="265"/>
      <c r="HT318" s="265"/>
      <c r="HU318" s="265"/>
      <c r="HV318" s="265"/>
      <c r="HW318" s="265"/>
      <c r="HX318" s="265"/>
      <c r="HY318" s="265"/>
      <c r="HZ318" s="265"/>
      <c r="IA318" s="265"/>
      <c r="IB318" s="265"/>
      <c r="IC318" s="265"/>
      <c r="ID318" s="265"/>
      <c r="IE318" s="265"/>
      <c r="IF318" s="265"/>
      <c r="IG318" s="265"/>
      <c r="IH318" s="265"/>
      <c r="II318" s="265"/>
      <c r="IJ318" s="265"/>
      <c r="IK318" s="265"/>
      <c r="IL318" s="265"/>
      <c r="IM318" s="265"/>
      <c r="IN318" s="265"/>
      <c r="IO318" s="265"/>
      <c r="IP318" s="265"/>
      <c r="IQ318" s="265"/>
      <c r="IR318" s="265"/>
    </row>
    <row r="319" spans="1:27" s="207" customFormat="1" ht="27.75" customHeight="1">
      <c r="A319" s="234" t="s">
        <v>594</v>
      </c>
      <c r="B319" s="235"/>
      <c r="C319" s="235"/>
      <c r="D319" s="235"/>
      <c r="E319" s="235"/>
      <c r="F319" s="235"/>
      <c r="G319" s="235"/>
      <c r="H319" s="231" t="e">
        <f t="shared" si="84"/>
        <v>#DIV/0!</v>
      </c>
      <c r="I319" s="255"/>
      <c r="O319" s="251"/>
      <c r="P319" s="252"/>
      <c r="AA319" s="254">
        <f t="shared" si="93"/>
        <v>0</v>
      </c>
    </row>
    <row r="320" spans="1:252" s="206" customFormat="1" ht="24" customHeight="1">
      <c r="A320" s="234" t="s">
        <v>595</v>
      </c>
      <c r="B320" s="235">
        <v>289</v>
      </c>
      <c r="C320" s="235">
        <f>289</f>
        <v>289</v>
      </c>
      <c r="D320" s="235">
        <v>109</v>
      </c>
      <c r="E320" s="235">
        <v>238</v>
      </c>
      <c r="F320" s="235">
        <f>238</f>
        <v>238</v>
      </c>
      <c r="G320" s="235">
        <v>693</v>
      </c>
      <c r="H320" s="231">
        <f t="shared" si="84"/>
        <v>0.8235294117647058</v>
      </c>
      <c r="I320" s="255" t="s">
        <v>596</v>
      </c>
      <c r="J320" s="254"/>
      <c r="K320" s="254"/>
      <c r="L320" s="254"/>
      <c r="M320" s="254"/>
      <c r="N320" s="254"/>
      <c r="O320" s="251"/>
      <c r="P320" s="252"/>
      <c r="Q320" s="207"/>
      <c r="R320" s="207"/>
      <c r="S320" s="207"/>
      <c r="T320" s="207"/>
      <c r="U320" s="207"/>
      <c r="V320" s="207"/>
      <c r="W320" s="207"/>
      <c r="X320" s="262"/>
      <c r="Y320" s="262"/>
      <c r="Z320" s="262"/>
      <c r="AA320" s="254">
        <f t="shared" si="93"/>
        <v>0</v>
      </c>
      <c r="AB320" s="262"/>
      <c r="AC320" s="262"/>
      <c r="AD320" s="262"/>
      <c r="AE320" s="262"/>
      <c r="AF320" s="262"/>
      <c r="AG320" s="262"/>
      <c r="AH320" s="262"/>
      <c r="AI320" s="262"/>
      <c r="AJ320" s="262"/>
      <c r="AK320" s="262"/>
      <c r="AL320" s="262"/>
      <c r="AM320" s="262"/>
      <c r="AN320" s="262"/>
      <c r="AO320" s="262"/>
      <c r="AP320" s="262"/>
      <c r="AQ320" s="262"/>
      <c r="AR320" s="262"/>
      <c r="AS320" s="262"/>
      <c r="AT320" s="262"/>
      <c r="AU320" s="262"/>
      <c r="AV320" s="262"/>
      <c r="AW320" s="262"/>
      <c r="AX320" s="262"/>
      <c r="AY320" s="262"/>
      <c r="AZ320" s="262"/>
      <c r="BA320" s="262"/>
      <c r="BB320" s="262"/>
      <c r="BC320" s="262"/>
      <c r="BD320" s="262"/>
      <c r="BE320" s="262"/>
      <c r="BF320" s="262"/>
      <c r="BG320" s="262"/>
      <c r="BH320" s="262"/>
      <c r="BI320" s="262"/>
      <c r="BJ320" s="262"/>
      <c r="BK320" s="262"/>
      <c r="BL320" s="262"/>
      <c r="BM320" s="262"/>
      <c r="BN320" s="262"/>
      <c r="BO320" s="262"/>
      <c r="BP320" s="262"/>
      <c r="BQ320" s="262"/>
      <c r="BR320" s="262"/>
      <c r="BS320" s="262"/>
      <c r="BT320" s="262"/>
      <c r="BU320" s="262"/>
      <c r="BV320" s="262"/>
      <c r="BW320" s="262"/>
      <c r="BX320" s="262"/>
      <c r="BY320" s="262"/>
      <c r="BZ320" s="262"/>
      <c r="CA320" s="262"/>
      <c r="CB320" s="262"/>
      <c r="CC320" s="262"/>
      <c r="CD320" s="262"/>
      <c r="CE320" s="262"/>
      <c r="CF320" s="262"/>
      <c r="CG320" s="262"/>
      <c r="CH320" s="262"/>
      <c r="CI320" s="262"/>
      <c r="CJ320" s="262"/>
      <c r="CK320" s="262"/>
      <c r="CL320" s="262"/>
      <c r="CM320" s="262"/>
      <c r="CN320" s="262"/>
      <c r="CO320" s="262"/>
      <c r="CP320" s="262"/>
      <c r="CQ320" s="262"/>
      <c r="CR320" s="262"/>
      <c r="CS320" s="262"/>
      <c r="CT320" s="262"/>
      <c r="CU320" s="262"/>
      <c r="CV320" s="262"/>
      <c r="CW320" s="262"/>
      <c r="CX320" s="262"/>
      <c r="CY320" s="262"/>
      <c r="CZ320" s="262"/>
      <c r="DA320" s="262"/>
      <c r="DB320" s="262"/>
      <c r="DC320" s="262"/>
      <c r="DD320" s="262"/>
      <c r="DE320" s="262"/>
      <c r="DF320" s="262"/>
      <c r="DG320" s="262"/>
      <c r="DH320" s="262"/>
      <c r="DI320" s="262"/>
      <c r="DJ320" s="262"/>
      <c r="DK320" s="262"/>
      <c r="DL320" s="262"/>
      <c r="DM320" s="262"/>
      <c r="DN320" s="262"/>
      <c r="DO320" s="262"/>
      <c r="DP320" s="262"/>
      <c r="DQ320" s="262"/>
      <c r="DR320" s="262"/>
      <c r="DS320" s="262"/>
      <c r="DT320" s="262"/>
      <c r="DU320" s="262"/>
      <c r="DV320" s="262"/>
      <c r="DW320" s="262"/>
      <c r="DX320" s="262"/>
      <c r="DY320" s="262"/>
      <c r="DZ320" s="262"/>
      <c r="EA320" s="262"/>
      <c r="EB320" s="262"/>
      <c r="EC320" s="262"/>
      <c r="ED320" s="262"/>
      <c r="EE320" s="262"/>
      <c r="EF320" s="262"/>
      <c r="EG320" s="262"/>
      <c r="EH320" s="262"/>
      <c r="EI320" s="262"/>
      <c r="EJ320" s="262"/>
      <c r="EK320" s="262"/>
      <c r="EL320" s="262"/>
      <c r="EM320" s="262"/>
      <c r="EN320" s="262"/>
      <c r="EO320" s="262"/>
      <c r="EP320" s="262"/>
      <c r="EQ320" s="262"/>
      <c r="ER320" s="262"/>
      <c r="ES320" s="262"/>
      <c r="ET320" s="262"/>
      <c r="EU320" s="262"/>
      <c r="EV320" s="262"/>
      <c r="EW320" s="262"/>
      <c r="EX320" s="262"/>
      <c r="EY320" s="262"/>
      <c r="EZ320" s="262"/>
      <c r="FA320" s="262"/>
      <c r="FB320" s="262"/>
      <c r="FC320" s="262"/>
      <c r="FD320" s="262"/>
      <c r="FE320" s="262"/>
      <c r="FF320" s="262"/>
      <c r="FG320" s="262"/>
      <c r="FH320" s="262"/>
      <c r="FI320" s="262"/>
      <c r="FJ320" s="262"/>
      <c r="FK320" s="262"/>
      <c r="FL320" s="262"/>
      <c r="FM320" s="262"/>
      <c r="FN320" s="262"/>
      <c r="FO320" s="262"/>
      <c r="FP320" s="262"/>
      <c r="FQ320" s="262"/>
      <c r="FR320" s="262"/>
      <c r="FS320" s="262"/>
      <c r="FT320" s="262"/>
      <c r="FU320" s="262"/>
      <c r="FV320" s="262"/>
      <c r="FW320" s="262"/>
      <c r="FX320" s="262"/>
      <c r="FY320" s="262"/>
      <c r="FZ320" s="262"/>
      <c r="GA320" s="262"/>
      <c r="GB320" s="262"/>
      <c r="GC320" s="262"/>
      <c r="GD320" s="262"/>
      <c r="GE320" s="262"/>
      <c r="GF320" s="262"/>
      <c r="GG320" s="262"/>
      <c r="GH320" s="262"/>
      <c r="GI320" s="262"/>
      <c r="GJ320" s="262"/>
      <c r="GK320" s="262"/>
      <c r="GL320" s="262"/>
      <c r="GM320" s="262"/>
      <c r="GN320" s="262"/>
      <c r="GO320" s="262"/>
      <c r="GP320" s="262"/>
      <c r="GQ320" s="262"/>
      <c r="GR320" s="262"/>
      <c r="GS320" s="262"/>
      <c r="GT320" s="262"/>
      <c r="GU320" s="262"/>
      <c r="GV320" s="262"/>
      <c r="GW320" s="262"/>
      <c r="GX320" s="262"/>
      <c r="GY320" s="262"/>
      <c r="GZ320" s="262"/>
      <c r="HA320" s="262"/>
      <c r="HB320" s="262"/>
      <c r="HC320" s="262"/>
      <c r="HD320" s="262"/>
      <c r="HE320" s="262"/>
      <c r="HF320" s="262"/>
      <c r="HG320" s="262"/>
      <c r="HH320" s="262"/>
      <c r="HI320" s="262"/>
      <c r="HJ320" s="262"/>
      <c r="HK320" s="262"/>
      <c r="HL320" s="262"/>
      <c r="HM320" s="262"/>
      <c r="HN320" s="262"/>
      <c r="HO320" s="262"/>
      <c r="HP320" s="265"/>
      <c r="HQ320" s="265"/>
      <c r="HR320" s="265"/>
      <c r="HS320" s="265"/>
      <c r="HT320" s="265"/>
      <c r="HU320" s="265"/>
      <c r="HV320" s="265"/>
      <c r="HW320" s="265"/>
      <c r="HX320" s="265"/>
      <c r="HY320" s="265"/>
      <c r="HZ320" s="265"/>
      <c r="IA320" s="265"/>
      <c r="IB320" s="265"/>
      <c r="IC320" s="265"/>
      <c r="ID320" s="265"/>
      <c r="IE320" s="265"/>
      <c r="IF320" s="265"/>
      <c r="IG320" s="265"/>
      <c r="IH320" s="265"/>
      <c r="II320" s="265"/>
      <c r="IJ320" s="265"/>
      <c r="IK320" s="265"/>
      <c r="IL320" s="265"/>
      <c r="IM320" s="265"/>
      <c r="IN320" s="265"/>
      <c r="IO320" s="265"/>
      <c r="IP320" s="265"/>
      <c r="IQ320" s="265"/>
      <c r="IR320" s="265"/>
    </row>
    <row r="321" spans="1:27" s="207" customFormat="1" ht="24" customHeight="1">
      <c r="A321" s="234" t="s">
        <v>597</v>
      </c>
      <c r="B321" s="235">
        <f aca="true" t="shared" si="100" ref="B321:G321">SUM(B322:B335)</f>
        <v>944</v>
      </c>
      <c r="C321" s="235">
        <f t="shared" si="100"/>
        <v>944</v>
      </c>
      <c r="D321" s="235">
        <f t="shared" si="100"/>
        <v>1174</v>
      </c>
      <c r="E321" s="235">
        <f t="shared" si="100"/>
        <v>834</v>
      </c>
      <c r="F321" s="235">
        <f t="shared" si="100"/>
        <v>834</v>
      </c>
      <c r="G321" s="235">
        <f t="shared" si="100"/>
        <v>1031</v>
      </c>
      <c r="H321" s="231">
        <f t="shared" si="84"/>
        <v>0.8834745762711864</v>
      </c>
      <c r="I321" s="249"/>
      <c r="J321" s="250"/>
      <c r="O321" s="251"/>
      <c r="P321" s="252"/>
      <c r="Q321" s="268"/>
      <c r="R321" s="268"/>
      <c r="AA321" s="254">
        <f t="shared" si="93"/>
        <v>0</v>
      </c>
    </row>
    <row r="322" spans="1:27" s="207" customFormat="1" ht="24" customHeight="1">
      <c r="A322" s="234" t="s">
        <v>598</v>
      </c>
      <c r="B322" s="235">
        <v>640</v>
      </c>
      <c r="C322" s="235">
        <v>640</v>
      </c>
      <c r="D322" s="235"/>
      <c r="E322" s="235">
        <v>497</v>
      </c>
      <c r="F322" s="235">
        <f>401+114-18</f>
        <v>497</v>
      </c>
      <c r="G322" s="235"/>
      <c r="H322" s="231">
        <f t="shared" si="84"/>
        <v>0.7765625</v>
      </c>
      <c r="I322" s="255"/>
      <c r="O322" s="251"/>
      <c r="P322" s="252"/>
      <c r="T322" s="206"/>
      <c r="AA322" s="254">
        <f t="shared" si="93"/>
        <v>0</v>
      </c>
    </row>
    <row r="323" spans="1:27" s="207" customFormat="1" ht="29.25" customHeight="1">
      <c r="A323" s="234" t="s">
        <v>599</v>
      </c>
      <c r="B323" s="235"/>
      <c r="C323" s="235"/>
      <c r="D323" s="235"/>
      <c r="E323" s="235"/>
      <c r="F323" s="235"/>
      <c r="G323" s="235"/>
      <c r="H323" s="231" t="e">
        <f aca="true" t="shared" si="101" ref="H323:H375">E323/B323</f>
        <v>#DIV/0!</v>
      </c>
      <c r="I323" s="255"/>
      <c r="O323" s="251"/>
      <c r="P323" s="252"/>
      <c r="AA323" s="254">
        <f t="shared" si="93"/>
        <v>0</v>
      </c>
    </row>
    <row r="324" spans="1:252" s="207" customFormat="1" ht="24" customHeight="1">
      <c r="A324" s="234" t="s">
        <v>600</v>
      </c>
      <c r="B324" s="235"/>
      <c r="C324" s="235"/>
      <c r="D324" s="235">
        <v>500</v>
      </c>
      <c r="E324" s="235"/>
      <c r="F324" s="235"/>
      <c r="G324" s="235">
        <v>141</v>
      </c>
      <c r="H324" s="231" t="e">
        <f t="shared" si="101"/>
        <v>#DIV/0!</v>
      </c>
      <c r="I324" s="255" t="s">
        <v>601</v>
      </c>
      <c r="J324" s="254"/>
      <c r="K324" s="254"/>
      <c r="L324" s="254"/>
      <c r="M324" s="254"/>
      <c r="N324" s="254"/>
      <c r="O324" s="251"/>
      <c r="P324" s="252"/>
      <c r="X324" s="262"/>
      <c r="Y324" s="262"/>
      <c r="Z324" s="262"/>
      <c r="AA324" s="254">
        <f t="shared" si="93"/>
        <v>0</v>
      </c>
      <c r="AB324" s="262"/>
      <c r="AC324" s="262"/>
      <c r="AD324" s="262"/>
      <c r="AE324" s="262"/>
      <c r="AF324" s="262"/>
      <c r="AG324" s="262"/>
      <c r="AH324" s="262"/>
      <c r="AI324" s="262"/>
      <c r="AJ324" s="262"/>
      <c r="AK324" s="262"/>
      <c r="AL324" s="262"/>
      <c r="AM324" s="262"/>
      <c r="AN324" s="262"/>
      <c r="AO324" s="262"/>
      <c r="AP324" s="262"/>
      <c r="AQ324" s="262"/>
      <c r="AR324" s="262"/>
      <c r="AS324" s="262"/>
      <c r="AT324" s="262"/>
      <c r="AU324" s="262"/>
      <c r="AV324" s="262"/>
      <c r="AW324" s="262"/>
      <c r="AX324" s="262"/>
      <c r="AY324" s="262"/>
      <c r="AZ324" s="262"/>
      <c r="BA324" s="262"/>
      <c r="BB324" s="262"/>
      <c r="BC324" s="262"/>
      <c r="BD324" s="262"/>
      <c r="BE324" s="262"/>
      <c r="BF324" s="262"/>
      <c r="BG324" s="262"/>
      <c r="BH324" s="262"/>
      <c r="BI324" s="262"/>
      <c r="BJ324" s="262"/>
      <c r="BK324" s="262"/>
      <c r="BL324" s="262"/>
      <c r="BM324" s="262"/>
      <c r="BN324" s="262"/>
      <c r="BO324" s="262"/>
      <c r="BP324" s="262"/>
      <c r="BQ324" s="262"/>
      <c r="BR324" s="262"/>
      <c r="BS324" s="262"/>
      <c r="BT324" s="262"/>
      <c r="BU324" s="262"/>
      <c r="BV324" s="262"/>
      <c r="BW324" s="262"/>
      <c r="BX324" s="262"/>
      <c r="BY324" s="262"/>
      <c r="BZ324" s="262"/>
      <c r="CA324" s="262"/>
      <c r="CB324" s="262"/>
      <c r="CC324" s="262"/>
      <c r="CD324" s="262"/>
      <c r="CE324" s="262"/>
      <c r="CF324" s="262"/>
      <c r="CG324" s="262"/>
      <c r="CH324" s="262"/>
      <c r="CI324" s="262"/>
      <c r="CJ324" s="262"/>
      <c r="CK324" s="262"/>
      <c r="CL324" s="262"/>
      <c r="CM324" s="262"/>
      <c r="CN324" s="262"/>
      <c r="CO324" s="262"/>
      <c r="CP324" s="262"/>
      <c r="CQ324" s="262"/>
      <c r="CR324" s="262"/>
      <c r="CS324" s="262"/>
      <c r="CT324" s="262"/>
      <c r="CU324" s="262"/>
      <c r="CV324" s="262"/>
      <c r="CW324" s="262"/>
      <c r="CX324" s="262"/>
      <c r="CY324" s="262"/>
      <c r="CZ324" s="262"/>
      <c r="DA324" s="262"/>
      <c r="DB324" s="262"/>
      <c r="DC324" s="262"/>
      <c r="DD324" s="262"/>
      <c r="DE324" s="262"/>
      <c r="DF324" s="262"/>
      <c r="DG324" s="262"/>
      <c r="DH324" s="262"/>
      <c r="DI324" s="262"/>
      <c r="DJ324" s="262"/>
      <c r="DK324" s="262"/>
      <c r="DL324" s="262"/>
      <c r="DM324" s="262"/>
      <c r="DN324" s="262"/>
      <c r="DO324" s="262"/>
      <c r="DP324" s="262"/>
      <c r="DQ324" s="262"/>
      <c r="DR324" s="262"/>
      <c r="DS324" s="262"/>
      <c r="DT324" s="262"/>
      <c r="DU324" s="262"/>
      <c r="DV324" s="262"/>
      <c r="DW324" s="262"/>
      <c r="DX324" s="262"/>
      <c r="DY324" s="262"/>
      <c r="DZ324" s="262"/>
      <c r="EA324" s="262"/>
      <c r="EB324" s="262"/>
      <c r="EC324" s="262"/>
      <c r="ED324" s="262"/>
      <c r="EE324" s="262"/>
      <c r="EF324" s="262"/>
      <c r="EG324" s="262"/>
      <c r="EH324" s="262"/>
      <c r="EI324" s="262"/>
      <c r="EJ324" s="262"/>
      <c r="EK324" s="262"/>
      <c r="EL324" s="262"/>
      <c r="EM324" s="262"/>
      <c r="EN324" s="262"/>
      <c r="EO324" s="262"/>
      <c r="EP324" s="262"/>
      <c r="EQ324" s="262"/>
      <c r="ER324" s="262"/>
      <c r="ES324" s="262"/>
      <c r="ET324" s="262"/>
      <c r="EU324" s="262"/>
      <c r="EV324" s="262"/>
      <c r="EW324" s="262"/>
      <c r="EX324" s="262"/>
      <c r="EY324" s="262"/>
      <c r="EZ324" s="262"/>
      <c r="FA324" s="262"/>
      <c r="FB324" s="262"/>
      <c r="FC324" s="262"/>
      <c r="FD324" s="262"/>
      <c r="FE324" s="262"/>
      <c r="FF324" s="262"/>
      <c r="FG324" s="262"/>
      <c r="FH324" s="262"/>
      <c r="FI324" s="262"/>
      <c r="FJ324" s="262"/>
      <c r="FK324" s="262"/>
      <c r="FL324" s="262"/>
      <c r="FM324" s="262"/>
      <c r="FN324" s="262"/>
      <c r="FO324" s="262"/>
      <c r="FP324" s="262"/>
      <c r="FQ324" s="262"/>
      <c r="FR324" s="262"/>
      <c r="FS324" s="262"/>
      <c r="FT324" s="262"/>
      <c r="FU324" s="262"/>
      <c r="FV324" s="262"/>
      <c r="FW324" s="262"/>
      <c r="FX324" s="262"/>
      <c r="FY324" s="262"/>
      <c r="FZ324" s="262"/>
      <c r="GA324" s="262"/>
      <c r="GB324" s="262"/>
      <c r="GC324" s="262"/>
      <c r="GD324" s="262"/>
      <c r="GE324" s="262"/>
      <c r="GF324" s="262"/>
      <c r="GG324" s="262"/>
      <c r="GH324" s="262"/>
      <c r="GI324" s="262"/>
      <c r="GJ324" s="262"/>
      <c r="GK324" s="262"/>
      <c r="GL324" s="262"/>
      <c r="GM324" s="262"/>
      <c r="GN324" s="262"/>
      <c r="GO324" s="262"/>
      <c r="GP324" s="262"/>
      <c r="GQ324" s="262"/>
      <c r="GR324" s="262"/>
      <c r="GS324" s="262"/>
      <c r="GT324" s="262"/>
      <c r="GU324" s="262"/>
      <c r="GV324" s="262"/>
      <c r="GW324" s="262"/>
      <c r="GX324" s="262"/>
      <c r="GY324" s="262"/>
      <c r="GZ324" s="262"/>
      <c r="HA324" s="262"/>
      <c r="HB324" s="262"/>
      <c r="HC324" s="262"/>
      <c r="HD324" s="262"/>
      <c r="HE324" s="262"/>
      <c r="HF324" s="262"/>
      <c r="HG324" s="262"/>
      <c r="HH324" s="262"/>
      <c r="HI324" s="262"/>
      <c r="HJ324" s="262"/>
      <c r="HK324" s="262"/>
      <c r="HL324" s="262"/>
      <c r="HM324" s="262"/>
      <c r="HN324" s="262"/>
      <c r="HO324" s="262"/>
      <c r="HP324" s="265"/>
      <c r="HQ324" s="265"/>
      <c r="HR324" s="265"/>
      <c r="HS324" s="265"/>
      <c r="HT324" s="265"/>
      <c r="HU324" s="265"/>
      <c r="HV324" s="265"/>
      <c r="HW324" s="265"/>
      <c r="HX324" s="265"/>
      <c r="HY324" s="265"/>
      <c r="HZ324" s="265"/>
      <c r="IA324" s="265"/>
      <c r="IB324" s="265"/>
      <c r="IC324" s="265"/>
      <c r="ID324" s="265"/>
      <c r="IE324" s="265"/>
      <c r="IF324" s="265"/>
      <c r="IG324" s="265"/>
      <c r="IH324" s="265"/>
      <c r="II324" s="265"/>
      <c r="IJ324" s="265"/>
      <c r="IK324" s="265"/>
      <c r="IL324" s="265"/>
      <c r="IM324" s="265"/>
      <c r="IN324" s="265"/>
      <c r="IO324" s="265"/>
      <c r="IP324" s="265"/>
      <c r="IQ324" s="265"/>
      <c r="IR324" s="265"/>
    </row>
    <row r="325" spans="1:27" s="207" customFormat="1" ht="24" customHeight="1">
      <c r="A325" s="234" t="s">
        <v>602</v>
      </c>
      <c r="B325" s="235"/>
      <c r="C325" s="235"/>
      <c r="D325" s="235"/>
      <c r="E325" s="235"/>
      <c r="F325" s="235"/>
      <c r="G325" s="235"/>
      <c r="H325" s="231" t="e">
        <f t="shared" si="101"/>
        <v>#DIV/0!</v>
      </c>
      <c r="I325" s="255"/>
      <c r="O325" s="251"/>
      <c r="P325" s="234"/>
      <c r="AA325" s="254">
        <f t="shared" si="93"/>
        <v>0</v>
      </c>
    </row>
    <row r="326" spans="1:27" s="207" customFormat="1" ht="24" customHeight="1">
      <c r="A326" s="234" t="s">
        <v>603</v>
      </c>
      <c r="B326" s="235">
        <v>67</v>
      </c>
      <c r="C326" s="235">
        <f>67</f>
        <v>67</v>
      </c>
      <c r="D326" s="235"/>
      <c r="E326" s="235">
        <v>81</v>
      </c>
      <c r="F326" s="235">
        <v>81</v>
      </c>
      <c r="G326" s="235"/>
      <c r="H326" s="231">
        <f t="shared" si="101"/>
        <v>1.208955223880597</v>
      </c>
      <c r="I326" s="255"/>
      <c r="O326" s="251"/>
      <c r="P326" s="234"/>
      <c r="AA326" s="254"/>
    </row>
    <row r="327" spans="1:27" s="207" customFormat="1" ht="24" customHeight="1">
      <c r="A327" s="234" t="s">
        <v>604</v>
      </c>
      <c r="B327" s="235"/>
      <c r="C327" s="235"/>
      <c r="D327" s="235">
        <v>89</v>
      </c>
      <c r="E327" s="235"/>
      <c r="F327" s="235"/>
      <c r="G327" s="235">
        <v>108</v>
      </c>
      <c r="H327" s="231" t="e">
        <f t="shared" si="101"/>
        <v>#DIV/0!</v>
      </c>
      <c r="I327" s="255"/>
      <c r="O327" s="251"/>
      <c r="P327" s="234"/>
      <c r="AA327" s="254">
        <f aca="true" t="shared" si="102" ref="AA327:AA337">F327-E327</f>
        <v>0</v>
      </c>
    </row>
    <row r="328" spans="1:27" s="207" customFormat="1" ht="24" customHeight="1">
      <c r="A328" s="234" t="s">
        <v>605</v>
      </c>
      <c r="B328" s="235"/>
      <c r="C328" s="235"/>
      <c r="D328" s="235">
        <v>397</v>
      </c>
      <c r="E328" s="235"/>
      <c r="F328" s="235"/>
      <c r="G328" s="235">
        <v>479</v>
      </c>
      <c r="H328" s="231" t="e">
        <f t="shared" si="101"/>
        <v>#DIV/0!</v>
      </c>
      <c r="I328" s="255"/>
      <c r="O328" s="251"/>
      <c r="P328" s="252"/>
      <c r="AA328" s="254">
        <f t="shared" si="102"/>
        <v>0</v>
      </c>
    </row>
    <row r="329" spans="1:27" s="207" customFormat="1" ht="24" customHeight="1">
      <c r="A329" s="234" t="s">
        <v>606</v>
      </c>
      <c r="B329" s="235"/>
      <c r="C329" s="235"/>
      <c r="D329" s="235"/>
      <c r="E329" s="235"/>
      <c r="F329" s="235"/>
      <c r="G329" s="235">
        <v>23</v>
      </c>
      <c r="H329" s="231" t="e">
        <f t="shared" si="101"/>
        <v>#DIV/0!</v>
      </c>
      <c r="I329" s="255"/>
      <c r="O329" s="251"/>
      <c r="P329" s="252"/>
      <c r="S329" s="206"/>
      <c r="AA329" s="254">
        <f t="shared" si="102"/>
        <v>0</v>
      </c>
    </row>
    <row r="330" spans="1:27" s="207" customFormat="1" ht="24" customHeight="1">
      <c r="A330" s="234" t="s">
        <v>607</v>
      </c>
      <c r="B330" s="235"/>
      <c r="C330" s="235"/>
      <c r="D330" s="235"/>
      <c r="E330" s="235"/>
      <c r="F330" s="235"/>
      <c r="G330" s="235"/>
      <c r="H330" s="231" t="e">
        <f t="shared" si="101"/>
        <v>#DIV/0!</v>
      </c>
      <c r="I330" s="255"/>
      <c r="O330" s="251"/>
      <c r="P330" s="252"/>
      <c r="S330" s="206"/>
      <c r="AA330" s="254">
        <f t="shared" si="102"/>
        <v>0</v>
      </c>
    </row>
    <row r="331" spans="1:27" s="207" customFormat="1" ht="24" customHeight="1">
      <c r="A331" s="234" t="s">
        <v>608</v>
      </c>
      <c r="B331" s="235"/>
      <c r="C331" s="235"/>
      <c r="D331" s="235">
        <v>2</v>
      </c>
      <c r="E331" s="235"/>
      <c r="F331" s="235"/>
      <c r="G331" s="235">
        <v>2</v>
      </c>
      <c r="H331" s="231" t="e">
        <f t="shared" si="101"/>
        <v>#DIV/0!</v>
      </c>
      <c r="I331" s="255"/>
      <c r="O331" s="251"/>
      <c r="P331" s="252"/>
      <c r="AA331" s="254">
        <f t="shared" si="102"/>
        <v>0</v>
      </c>
    </row>
    <row r="332" spans="1:27" s="207" customFormat="1" ht="24" customHeight="1">
      <c r="A332" s="234" t="s">
        <v>609</v>
      </c>
      <c r="B332" s="235"/>
      <c r="C332" s="235"/>
      <c r="D332" s="235"/>
      <c r="E332" s="235"/>
      <c r="F332" s="235"/>
      <c r="G332" s="235"/>
      <c r="H332" s="231" t="e">
        <f t="shared" si="101"/>
        <v>#DIV/0!</v>
      </c>
      <c r="I332" s="255"/>
      <c r="O332" s="251"/>
      <c r="P332" s="252"/>
      <c r="AA332" s="254">
        <f t="shared" si="102"/>
        <v>0</v>
      </c>
    </row>
    <row r="333" spans="1:27" s="207" customFormat="1" ht="24" customHeight="1">
      <c r="A333" s="234" t="s">
        <v>610</v>
      </c>
      <c r="B333" s="235"/>
      <c r="C333" s="235"/>
      <c r="D333" s="235"/>
      <c r="E333" s="235"/>
      <c r="F333" s="235"/>
      <c r="G333" s="235"/>
      <c r="H333" s="231" t="e">
        <f t="shared" si="101"/>
        <v>#DIV/0!</v>
      </c>
      <c r="I333" s="255"/>
      <c r="O333" s="251"/>
      <c r="P333" s="252"/>
      <c r="AA333" s="254">
        <f t="shared" si="102"/>
        <v>0</v>
      </c>
    </row>
    <row r="334" spans="1:27" s="207" customFormat="1" ht="24" customHeight="1">
      <c r="A334" s="234" t="s">
        <v>611</v>
      </c>
      <c r="B334" s="235">
        <v>20</v>
      </c>
      <c r="C334" s="235">
        <v>20</v>
      </c>
      <c r="D334" s="235"/>
      <c r="E334" s="235">
        <v>18</v>
      </c>
      <c r="F334" s="235">
        <v>18</v>
      </c>
      <c r="G334" s="235"/>
      <c r="H334" s="231">
        <f t="shared" si="101"/>
        <v>0.9</v>
      </c>
      <c r="I334" s="255" t="s">
        <v>612</v>
      </c>
      <c r="O334" s="251"/>
      <c r="P334" s="252"/>
      <c r="AA334" s="254">
        <f t="shared" si="102"/>
        <v>0</v>
      </c>
    </row>
    <row r="335" spans="1:252" s="206" customFormat="1" ht="24" customHeight="1">
      <c r="A335" s="234" t="s">
        <v>613</v>
      </c>
      <c r="B335" s="235">
        <v>217</v>
      </c>
      <c r="C335" s="235">
        <v>217</v>
      </c>
      <c r="D335" s="235">
        <v>186</v>
      </c>
      <c r="E335" s="235">
        <v>238</v>
      </c>
      <c r="F335" s="235">
        <f>202+36</f>
        <v>238</v>
      </c>
      <c r="G335" s="235">
        <v>278</v>
      </c>
      <c r="H335" s="231">
        <f t="shared" si="101"/>
        <v>1.096774193548387</v>
      </c>
      <c r="I335" s="255"/>
      <c r="J335" s="254"/>
      <c r="K335" s="254"/>
      <c r="L335" s="254"/>
      <c r="M335" s="254"/>
      <c r="N335" s="254"/>
      <c r="O335" s="251"/>
      <c r="P335" s="252"/>
      <c r="Q335" s="207"/>
      <c r="R335" s="207"/>
      <c r="S335" s="207"/>
      <c r="T335" s="207"/>
      <c r="U335" s="207"/>
      <c r="V335" s="207"/>
      <c r="W335" s="207"/>
      <c r="X335" s="262"/>
      <c r="Y335" s="262"/>
      <c r="Z335" s="262"/>
      <c r="AA335" s="254">
        <f t="shared" si="102"/>
        <v>0</v>
      </c>
      <c r="AB335" s="262"/>
      <c r="AC335" s="262"/>
      <c r="AD335" s="262"/>
      <c r="AE335" s="262"/>
      <c r="AF335" s="262"/>
      <c r="AG335" s="262"/>
      <c r="AH335" s="262"/>
      <c r="AI335" s="262"/>
      <c r="AJ335" s="262"/>
      <c r="AK335" s="262"/>
      <c r="AL335" s="262"/>
      <c r="AM335" s="262"/>
      <c r="AN335" s="262"/>
      <c r="AO335" s="262"/>
      <c r="AP335" s="262"/>
      <c r="AQ335" s="262"/>
      <c r="AR335" s="262"/>
      <c r="AS335" s="262"/>
      <c r="AT335" s="262"/>
      <c r="AU335" s="262"/>
      <c r="AV335" s="262"/>
      <c r="AW335" s="262"/>
      <c r="AX335" s="262"/>
      <c r="AY335" s="262"/>
      <c r="AZ335" s="262"/>
      <c r="BA335" s="262"/>
      <c r="BB335" s="262"/>
      <c r="BC335" s="262"/>
      <c r="BD335" s="262"/>
      <c r="BE335" s="262"/>
      <c r="BF335" s="262"/>
      <c r="BG335" s="262"/>
      <c r="BH335" s="262"/>
      <c r="BI335" s="262"/>
      <c r="BJ335" s="262"/>
      <c r="BK335" s="262"/>
      <c r="BL335" s="262"/>
      <c r="BM335" s="262"/>
      <c r="BN335" s="262"/>
      <c r="BO335" s="262"/>
      <c r="BP335" s="262"/>
      <c r="BQ335" s="262"/>
      <c r="BR335" s="262"/>
      <c r="BS335" s="262"/>
      <c r="BT335" s="262"/>
      <c r="BU335" s="262"/>
      <c r="BV335" s="262"/>
      <c r="BW335" s="262"/>
      <c r="BX335" s="262"/>
      <c r="BY335" s="262"/>
      <c r="BZ335" s="262"/>
      <c r="CA335" s="262"/>
      <c r="CB335" s="262"/>
      <c r="CC335" s="262"/>
      <c r="CD335" s="262"/>
      <c r="CE335" s="262"/>
      <c r="CF335" s="262"/>
      <c r="CG335" s="262"/>
      <c r="CH335" s="262"/>
      <c r="CI335" s="262"/>
      <c r="CJ335" s="262"/>
      <c r="CK335" s="262"/>
      <c r="CL335" s="262"/>
      <c r="CM335" s="262"/>
      <c r="CN335" s="262"/>
      <c r="CO335" s="262"/>
      <c r="CP335" s="262"/>
      <c r="CQ335" s="262"/>
      <c r="CR335" s="262"/>
      <c r="CS335" s="262"/>
      <c r="CT335" s="262"/>
      <c r="CU335" s="262"/>
      <c r="CV335" s="262"/>
      <c r="CW335" s="262"/>
      <c r="CX335" s="262"/>
      <c r="CY335" s="262"/>
      <c r="CZ335" s="262"/>
      <c r="DA335" s="262"/>
      <c r="DB335" s="262"/>
      <c r="DC335" s="262"/>
      <c r="DD335" s="262"/>
      <c r="DE335" s="262"/>
      <c r="DF335" s="262"/>
      <c r="DG335" s="262"/>
      <c r="DH335" s="262"/>
      <c r="DI335" s="262"/>
      <c r="DJ335" s="262"/>
      <c r="DK335" s="262"/>
      <c r="DL335" s="262"/>
      <c r="DM335" s="262"/>
      <c r="DN335" s="262"/>
      <c r="DO335" s="262"/>
      <c r="DP335" s="262"/>
      <c r="DQ335" s="262"/>
      <c r="DR335" s="262"/>
      <c r="DS335" s="262"/>
      <c r="DT335" s="262"/>
      <c r="DU335" s="262"/>
      <c r="DV335" s="262"/>
      <c r="DW335" s="262"/>
      <c r="DX335" s="262"/>
      <c r="DY335" s="262"/>
      <c r="DZ335" s="262"/>
      <c r="EA335" s="262"/>
      <c r="EB335" s="262"/>
      <c r="EC335" s="262"/>
      <c r="ED335" s="262"/>
      <c r="EE335" s="262"/>
      <c r="EF335" s="262"/>
      <c r="EG335" s="262"/>
      <c r="EH335" s="262"/>
      <c r="EI335" s="262"/>
      <c r="EJ335" s="262"/>
      <c r="EK335" s="262"/>
      <c r="EL335" s="262"/>
      <c r="EM335" s="262"/>
      <c r="EN335" s="262"/>
      <c r="EO335" s="262"/>
      <c r="EP335" s="262"/>
      <c r="EQ335" s="262"/>
      <c r="ER335" s="262"/>
      <c r="ES335" s="262"/>
      <c r="ET335" s="262"/>
      <c r="EU335" s="262"/>
      <c r="EV335" s="262"/>
      <c r="EW335" s="262"/>
      <c r="EX335" s="262"/>
      <c r="EY335" s="262"/>
      <c r="EZ335" s="262"/>
      <c r="FA335" s="262"/>
      <c r="FB335" s="262"/>
      <c r="FC335" s="262"/>
      <c r="FD335" s="262"/>
      <c r="FE335" s="262"/>
      <c r="FF335" s="262"/>
      <c r="FG335" s="262"/>
      <c r="FH335" s="262"/>
      <c r="FI335" s="262"/>
      <c r="FJ335" s="262"/>
      <c r="FK335" s="262"/>
      <c r="FL335" s="262"/>
      <c r="FM335" s="262"/>
      <c r="FN335" s="262"/>
      <c r="FO335" s="262"/>
      <c r="FP335" s="262"/>
      <c r="FQ335" s="262"/>
      <c r="FR335" s="262"/>
      <c r="FS335" s="262"/>
      <c r="FT335" s="262"/>
      <c r="FU335" s="262"/>
      <c r="FV335" s="262"/>
      <c r="FW335" s="262"/>
      <c r="FX335" s="262"/>
      <c r="FY335" s="262"/>
      <c r="FZ335" s="262"/>
      <c r="GA335" s="262"/>
      <c r="GB335" s="262"/>
      <c r="GC335" s="262"/>
      <c r="GD335" s="262"/>
      <c r="GE335" s="262"/>
      <c r="GF335" s="262"/>
      <c r="GG335" s="262"/>
      <c r="GH335" s="262"/>
      <c r="GI335" s="262"/>
      <c r="GJ335" s="262"/>
      <c r="GK335" s="262"/>
      <c r="GL335" s="262"/>
      <c r="GM335" s="262"/>
      <c r="GN335" s="262"/>
      <c r="GO335" s="262"/>
      <c r="GP335" s="262"/>
      <c r="GQ335" s="262"/>
      <c r="GR335" s="262"/>
      <c r="GS335" s="262"/>
      <c r="GT335" s="262"/>
      <c r="GU335" s="262"/>
      <c r="GV335" s="262"/>
      <c r="GW335" s="262"/>
      <c r="GX335" s="262"/>
      <c r="GY335" s="262"/>
      <c r="GZ335" s="262"/>
      <c r="HA335" s="262"/>
      <c r="HB335" s="262"/>
      <c r="HC335" s="262"/>
      <c r="HD335" s="262"/>
      <c r="HE335" s="262"/>
      <c r="HF335" s="262"/>
      <c r="HG335" s="262"/>
      <c r="HH335" s="262"/>
      <c r="HI335" s="262"/>
      <c r="HJ335" s="262"/>
      <c r="HK335" s="262"/>
      <c r="HL335" s="262"/>
      <c r="HM335" s="262"/>
      <c r="HN335" s="262"/>
      <c r="HO335" s="262"/>
      <c r="HP335" s="265"/>
      <c r="HQ335" s="265"/>
      <c r="HR335" s="265"/>
      <c r="HS335" s="265"/>
      <c r="HT335" s="265"/>
      <c r="HU335" s="265"/>
      <c r="HV335" s="265"/>
      <c r="HW335" s="265"/>
      <c r="HX335" s="265"/>
      <c r="HY335" s="265"/>
      <c r="HZ335" s="265"/>
      <c r="IA335" s="265"/>
      <c r="IB335" s="265"/>
      <c r="IC335" s="265"/>
      <c r="ID335" s="265"/>
      <c r="IE335" s="265"/>
      <c r="IF335" s="265"/>
      <c r="IG335" s="265"/>
      <c r="IH335" s="265"/>
      <c r="II335" s="265"/>
      <c r="IJ335" s="265"/>
      <c r="IK335" s="265"/>
      <c r="IL335" s="265"/>
      <c r="IM335" s="265"/>
      <c r="IN335" s="265"/>
      <c r="IO335" s="265"/>
      <c r="IP335" s="265"/>
      <c r="IQ335" s="265"/>
      <c r="IR335" s="265"/>
    </row>
    <row r="336" spans="1:27" s="209" customFormat="1" ht="24" customHeight="1">
      <c r="A336" s="281" t="s">
        <v>614</v>
      </c>
      <c r="B336" s="282">
        <f aca="true" t="shared" si="103" ref="B336:G336">SUM(B337:B344)</f>
        <v>901</v>
      </c>
      <c r="C336" s="282">
        <f t="shared" si="103"/>
        <v>901</v>
      </c>
      <c r="D336" s="282">
        <f t="shared" si="103"/>
        <v>353</v>
      </c>
      <c r="E336" s="282">
        <f t="shared" si="103"/>
        <v>836</v>
      </c>
      <c r="F336" s="282">
        <f t="shared" si="103"/>
        <v>836</v>
      </c>
      <c r="G336" s="282">
        <f t="shared" si="103"/>
        <v>2739</v>
      </c>
      <c r="H336" s="231">
        <f t="shared" si="101"/>
        <v>0.9278579356270811</v>
      </c>
      <c r="I336" s="284"/>
      <c r="J336" s="285"/>
      <c r="O336" s="286"/>
      <c r="P336" s="287"/>
      <c r="Q336" s="288"/>
      <c r="R336" s="288"/>
      <c r="AA336" s="289">
        <f t="shared" si="102"/>
        <v>0</v>
      </c>
    </row>
    <row r="337" spans="1:27" s="207" customFormat="1" ht="24" customHeight="1">
      <c r="A337" s="234" t="s">
        <v>615</v>
      </c>
      <c r="B337" s="235">
        <v>592</v>
      </c>
      <c r="C337" s="235">
        <v>592</v>
      </c>
      <c r="D337" s="235"/>
      <c r="E337" s="235">
        <v>703</v>
      </c>
      <c r="F337" s="235">
        <f>447+81+193-18</f>
        <v>703</v>
      </c>
      <c r="G337" s="235"/>
      <c r="H337" s="231">
        <f t="shared" si="101"/>
        <v>1.1875</v>
      </c>
      <c r="I337" s="255"/>
      <c r="O337" s="251"/>
      <c r="P337" s="252"/>
      <c r="Q337" s="206"/>
      <c r="R337" s="206"/>
      <c r="T337" s="206"/>
      <c r="AA337" s="254">
        <f t="shared" si="102"/>
        <v>0</v>
      </c>
    </row>
    <row r="338" spans="1:27" s="207" customFormat="1" ht="24" customHeight="1">
      <c r="A338" s="275" t="s">
        <v>616</v>
      </c>
      <c r="B338" s="235"/>
      <c r="C338" s="235"/>
      <c r="D338" s="235">
        <v>353</v>
      </c>
      <c r="E338" s="235"/>
      <c r="F338" s="235"/>
      <c r="G338" s="235">
        <v>759</v>
      </c>
      <c r="H338" s="231" t="e">
        <f t="shared" si="101"/>
        <v>#DIV/0!</v>
      </c>
      <c r="I338" s="255"/>
      <c r="O338" s="251"/>
      <c r="P338" s="252"/>
      <c r="AA338" s="254"/>
    </row>
    <row r="339" spans="1:27" s="207" customFormat="1" ht="24" customHeight="1">
      <c r="A339" s="234" t="s">
        <v>617</v>
      </c>
      <c r="B339" s="235"/>
      <c r="C339" s="235"/>
      <c r="D339" s="235"/>
      <c r="E339" s="235"/>
      <c r="F339" s="235"/>
      <c r="G339" s="235">
        <v>40</v>
      </c>
      <c r="H339" s="231" t="e">
        <f t="shared" si="101"/>
        <v>#DIV/0!</v>
      </c>
      <c r="I339" s="255"/>
      <c r="O339" s="251"/>
      <c r="P339" s="252"/>
      <c r="AA339" s="254">
        <f aca="true" t="shared" si="104" ref="AA339:AA352">F339-E339</f>
        <v>0</v>
      </c>
    </row>
    <row r="340" spans="1:27" s="207" customFormat="1" ht="24" customHeight="1">
      <c r="A340" s="234" t="s">
        <v>618</v>
      </c>
      <c r="B340" s="235">
        <v>20</v>
      </c>
      <c r="C340" s="235">
        <v>20</v>
      </c>
      <c r="D340" s="235"/>
      <c r="E340" s="235">
        <v>18</v>
      </c>
      <c r="F340" s="235">
        <v>18</v>
      </c>
      <c r="G340" s="235">
        <v>24</v>
      </c>
      <c r="H340" s="231">
        <f t="shared" si="101"/>
        <v>0.9</v>
      </c>
      <c r="I340" s="255" t="s">
        <v>619</v>
      </c>
      <c r="O340" s="251"/>
      <c r="P340" s="252"/>
      <c r="AA340" s="254">
        <f t="shared" si="104"/>
        <v>0</v>
      </c>
    </row>
    <row r="341" spans="1:27" s="207" customFormat="1" ht="31.5" customHeight="1">
      <c r="A341" s="234" t="s">
        <v>620</v>
      </c>
      <c r="B341" s="235"/>
      <c r="C341" s="235"/>
      <c r="D341" s="235"/>
      <c r="E341" s="235"/>
      <c r="F341" s="235"/>
      <c r="G341" s="235"/>
      <c r="H341" s="231" t="e">
        <f t="shared" si="101"/>
        <v>#DIV/0!</v>
      </c>
      <c r="I341" s="255"/>
      <c r="O341" s="251"/>
      <c r="P341" s="252"/>
      <c r="S341" s="206"/>
      <c r="AA341" s="254">
        <f t="shared" si="104"/>
        <v>0</v>
      </c>
    </row>
    <row r="342" spans="1:27" s="207" customFormat="1" ht="24" customHeight="1">
      <c r="A342" s="283" t="s">
        <v>621</v>
      </c>
      <c r="B342" s="235">
        <v>50</v>
      </c>
      <c r="C342" s="235">
        <v>50</v>
      </c>
      <c r="D342" s="235"/>
      <c r="E342" s="235"/>
      <c r="F342" s="235"/>
      <c r="G342" s="235">
        <v>1900</v>
      </c>
      <c r="H342" s="231">
        <f t="shared" si="101"/>
        <v>0</v>
      </c>
      <c r="I342" s="255"/>
      <c r="O342" s="251"/>
      <c r="P342" s="234"/>
      <c r="AA342" s="254">
        <f t="shared" si="104"/>
        <v>0</v>
      </c>
    </row>
    <row r="343" spans="1:27" s="207" customFormat="1" ht="24" customHeight="1">
      <c r="A343" s="234" t="s">
        <v>622</v>
      </c>
      <c r="B343" s="235"/>
      <c r="C343" s="235"/>
      <c r="D343" s="235"/>
      <c r="E343" s="235"/>
      <c r="F343" s="235"/>
      <c r="G343" s="235"/>
      <c r="H343" s="231" t="e">
        <f t="shared" si="101"/>
        <v>#DIV/0!</v>
      </c>
      <c r="I343" s="255"/>
      <c r="O343" s="251"/>
      <c r="P343" s="252"/>
      <c r="AA343" s="254">
        <f t="shared" si="104"/>
        <v>0</v>
      </c>
    </row>
    <row r="344" spans="1:252" s="206" customFormat="1" ht="24" customHeight="1">
      <c r="A344" s="234" t="s">
        <v>623</v>
      </c>
      <c r="B344" s="235">
        <v>239</v>
      </c>
      <c r="C344" s="235">
        <f>116+120+3</f>
        <v>239</v>
      </c>
      <c r="D344" s="235"/>
      <c r="E344" s="235">
        <v>115</v>
      </c>
      <c r="F344" s="235">
        <v>115</v>
      </c>
      <c r="G344" s="235">
        <v>16</v>
      </c>
      <c r="H344" s="231">
        <f t="shared" si="101"/>
        <v>0.4811715481171548</v>
      </c>
      <c r="I344" s="255"/>
      <c r="J344" s="254"/>
      <c r="K344" s="254"/>
      <c r="L344" s="254"/>
      <c r="M344" s="254"/>
      <c r="N344" s="254"/>
      <c r="O344" s="251"/>
      <c r="P344" s="252"/>
      <c r="Q344" s="207"/>
      <c r="R344" s="207"/>
      <c r="S344" s="207"/>
      <c r="T344" s="207"/>
      <c r="U344" s="207"/>
      <c r="V344" s="207"/>
      <c r="W344" s="207"/>
      <c r="X344" s="262"/>
      <c r="Y344" s="262"/>
      <c r="Z344" s="262"/>
      <c r="AA344" s="254">
        <f t="shared" si="104"/>
        <v>0</v>
      </c>
      <c r="AB344" s="262"/>
      <c r="AC344" s="262"/>
      <c r="AD344" s="262"/>
      <c r="AE344" s="262"/>
      <c r="AF344" s="262"/>
      <c r="AG344" s="262"/>
      <c r="AH344" s="262"/>
      <c r="AI344" s="262"/>
      <c r="AJ344" s="262"/>
      <c r="AK344" s="262"/>
      <c r="AL344" s="262"/>
      <c r="AM344" s="262"/>
      <c r="AN344" s="262"/>
      <c r="AO344" s="262"/>
      <c r="AP344" s="262"/>
      <c r="AQ344" s="262"/>
      <c r="AR344" s="262"/>
      <c r="AS344" s="262"/>
      <c r="AT344" s="262"/>
      <c r="AU344" s="262"/>
      <c r="AV344" s="262"/>
      <c r="AW344" s="262"/>
      <c r="AX344" s="262"/>
      <c r="AY344" s="262"/>
      <c r="AZ344" s="262"/>
      <c r="BA344" s="262"/>
      <c r="BB344" s="262"/>
      <c r="BC344" s="262"/>
      <c r="BD344" s="262"/>
      <c r="BE344" s="262"/>
      <c r="BF344" s="262"/>
      <c r="BG344" s="262"/>
      <c r="BH344" s="262"/>
      <c r="BI344" s="262"/>
      <c r="BJ344" s="262"/>
      <c r="BK344" s="262"/>
      <c r="BL344" s="262"/>
      <c r="BM344" s="262"/>
      <c r="BN344" s="262"/>
      <c r="BO344" s="262"/>
      <c r="BP344" s="262"/>
      <c r="BQ344" s="262"/>
      <c r="BR344" s="262"/>
      <c r="BS344" s="262"/>
      <c r="BT344" s="262"/>
      <c r="BU344" s="262"/>
      <c r="BV344" s="262"/>
      <c r="BW344" s="262"/>
      <c r="BX344" s="262"/>
      <c r="BY344" s="262"/>
      <c r="BZ344" s="262"/>
      <c r="CA344" s="262"/>
      <c r="CB344" s="262"/>
      <c r="CC344" s="262"/>
      <c r="CD344" s="262"/>
      <c r="CE344" s="262"/>
      <c r="CF344" s="262"/>
      <c r="CG344" s="262"/>
      <c r="CH344" s="262"/>
      <c r="CI344" s="262"/>
      <c r="CJ344" s="262"/>
      <c r="CK344" s="262"/>
      <c r="CL344" s="262"/>
      <c r="CM344" s="262"/>
      <c r="CN344" s="262"/>
      <c r="CO344" s="262"/>
      <c r="CP344" s="262"/>
      <c r="CQ344" s="262"/>
      <c r="CR344" s="262"/>
      <c r="CS344" s="262"/>
      <c r="CT344" s="262"/>
      <c r="CU344" s="262"/>
      <c r="CV344" s="262"/>
      <c r="CW344" s="262"/>
      <c r="CX344" s="262"/>
      <c r="CY344" s="262"/>
      <c r="CZ344" s="262"/>
      <c r="DA344" s="262"/>
      <c r="DB344" s="262"/>
      <c r="DC344" s="262"/>
      <c r="DD344" s="262"/>
      <c r="DE344" s="262"/>
      <c r="DF344" s="262"/>
      <c r="DG344" s="262"/>
      <c r="DH344" s="262"/>
      <c r="DI344" s="262"/>
      <c r="DJ344" s="262"/>
      <c r="DK344" s="262"/>
      <c r="DL344" s="262"/>
      <c r="DM344" s="262"/>
      <c r="DN344" s="262"/>
      <c r="DO344" s="262"/>
      <c r="DP344" s="262"/>
      <c r="DQ344" s="262"/>
      <c r="DR344" s="262"/>
      <c r="DS344" s="262"/>
      <c r="DT344" s="262"/>
      <c r="DU344" s="262"/>
      <c r="DV344" s="262"/>
      <c r="DW344" s="262"/>
      <c r="DX344" s="262"/>
      <c r="DY344" s="262"/>
      <c r="DZ344" s="262"/>
      <c r="EA344" s="262"/>
      <c r="EB344" s="262"/>
      <c r="EC344" s="262"/>
      <c r="ED344" s="262"/>
      <c r="EE344" s="262"/>
      <c r="EF344" s="262"/>
      <c r="EG344" s="262"/>
      <c r="EH344" s="262"/>
      <c r="EI344" s="262"/>
      <c r="EJ344" s="262"/>
      <c r="EK344" s="262"/>
      <c r="EL344" s="262"/>
      <c r="EM344" s="262"/>
      <c r="EN344" s="262"/>
      <c r="EO344" s="262"/>
      <c r="EP344" s="262"/>
      <c r="EQ344" s="262"/>
      <c r="ER344" s="262"/>
      <c r="ES344" s="262"/>
      <c r="ET344" s="262"/>
      <c r="EU344" s="262"/>
      <c r="EV344" s="262"/>
      <c r="EW344" s="262"/>
      <c r="EX344" s="262"/>
      <c r="EY344" s="262"/>
      <c r="EZ344" s="262"/>
      <c r="FA344" s="262"/>
      <c r="FB344" s="262"/>
      <c r="FC344" s="262"/>
      <c r="FD344" s="262"/>
      <c r="FE344" s="262"/>
      <c r="FF344" s="262"/>
      <c r="FG344" s="262"/>
      <c r="FH344" s="262"/>
      <c r="FI344" s="262"/>
      <c r="FJ344" s="262"/>
      <c r="FK344" s="262"/>
      <c r="FL344" s="262"/>
      <c r="FM344" s="262"/>
      <c r="FN344" s="262"/>
      <c r="FO344" s="262"/>
      <c r="FP344" s="262"/>
      <c r="FQ344" s="262"/>
      <c r="FR344" s="262"/>
      <c r="FS344" s="262"/>
      <c r="FT344" s="262"/>
      <c r="FU344" s="262"/>
      <c r="FV344" s="262"/>
      <c r="FW344" s="262"/>
      <c r="FX344" s="262"/>
      <c r="FY344" s="262"/>
      <c r="FZ344" s="262"/>
      <c r="GA344" s="262"/>
      <c r="GB344" s="262"/>
      <c r="GC344" s="262"/>
      <c r="GD344" s="262"/>
      <c r="GE344" s="262"/>
      <c r="GF344" s="262"/>
      <c r="GG344" s="262"/>
      <c r="GH344" s="262"/>
      <c r="GI344" s="262"/>
      <c r="GJ344" s="262"/>
      <c r="GK344" s="262"/>
      <c r="GL344" s="262"/>
      <c r="GM344" s="262"/>
      <c r="GN344" s="262"/>
      <c r="GO344" s="262"/>
      <c r="GP344" s="262"/>
      <c r="GQ344" s="262"/>
      <c r="GR344" s="262"/>
      <c r="GS344" s="262"/>
      <c r="GT344" s="262"/>
      <c r="GU344" s="262"/>
      <c r="GV344" s="262"/>
      <c r="GW344" s="262"/>
      <c r="GX344" s="262"/>
      <c r="GY344" s="262"/>
      <c r="GZ344" s="262"/>
      <c r="HA344" s="262"/>
      <c r="HB344" s="262"/>
      <c r="HC344" s="262"/>
      <c r="HD344" s="262"/>
      <c r="HE344" s="262"/>
      <c r="HF344" s="262"/>
      <c r="HG344" s="262"/>
      <c r="HH344" s="262"/>
      <c r="HI344" s="262"/>
      <c r="HJ344" s="262"/>
      <c r="HK344" s="262"/>
      <c r="HL344" s="262"/>
      <c r="HM344" s="262"/>
      <c r="HN344" s="262"/>
      <c r="HO344" s="262"/>
      <c r="HP344" s="265"/>
      <c r="HQ344" s="265"/>
      <c r="HR344" s="265"/>
      <c r="HS344" s="265"/>
      <c r="HT344" s="265"/>
      <c r="HU344" s="265"/>
      <c r="HV344" s="265"/>
      <c r="HW344" s="265"/>
      <c r="HX344" s="265"/>
      <c r="HY344" s="265"/>
      <c r="HZ344" s="265"/>
      <c r="IA344" s="265"/>
      <c r="IB344" s="265"/>
      <c r="IC344" s="265"/>
      <c r="ID344" s="265"/>
      <c r="IE344" s="265"/>
      <c r="IF344" s="265"/>
      <c r="IG344" s="265"/>
      <c r="IH344" s="265"/>
      <c r="II344" s="265"/>
      <c r="IJ344" s="265"/>
      <c r="IK344" s="265"/>
      <c r="IL344" s="265"/>
      <c r="IM344" s="265"/>
      <c r="IN344" s="265"/>
      <c r="IO344" s="265"/>
      <c r="IP344" s="265"/>
      <c r="IQ344" s="265"/>
      <c r="IR344" s="265"/>
    </row>
    <row r="345" spans="1:27" s="207" customFormat="1" ht="24" customHeight="1">
      <c r="A345" s="234" t="s">
        <v>624</v>
      </c>
      <c r="B345" s="235">
        <f aca="true" t="shared" si="105" ref="B345:G345">SUM(B346:B349)</f>
        <v>2823</v>
      </c>
      <c r="C345" s="235">
        <f t="shared" si="105"/>
        <v>2823</v>
      </c>
      <c r="D345" s="235">
        <f t="shared" si="105"/>
        <v>628</v>
      </c>
      <c r="E345" s="235">
        <f t="shared" si="105"/>
        <v>5242</v>
      </c>
      <c r="F345" s="235">
        <f t="shared" si="105"/>
        <v>5242</v>
      </c>
      <c r="G345" s="235">
        <f t="shared" si="105"/>
        <v>799</v>
      </c>
      <c r="H345" s="231">
        <f t="shared" si="101"/>
        <v>1.8568898335104498</v>
      </c>
      <c r="I345" s="255"/>
      <c r="J345" s="250"/>
      <c r="O345" s="251"/>
      <c r="P345" s="252"/>
      <c r="AA345" s="254">
        <f t="shared" si="104"/>
        <v>0</v>
      </c>
    </row>
    <row r="346" spans="1:27" s="207" customFormat="1" ht="24" customHeight="1">
      <c r="A346" s="234" t="s">
        <v>625</v>
      </c>
      <c r="B346" s="235">
        <v>123</v>
      </c>
      <c r="C346" s="235">
        <v>123</v>
      </c>
      <c r="D346" s="235"/>
      <c r="E346" s="235">
        <v>116</v>
      </c>
      <c r="F346" s="235">
        <f>92+24</f>
        <v>116</v>
      </c>
      <c r="G346" s="235"/>
      <c r="H346" s="231">
        <f t="shared" si="101"/>
        <v>0.943089430894309</v>
      </c>
      <c r="I346" s="255"/>
      <c r="O346" s="251"/>
      <c r="P346" s="252"/>
      <c r="T346" s="206"/>
      <c r="AA346" s="254">
        <f t="shared" si="104"/>
        <v>0</v>
      </c>
    </row>
    <row r="347" spans="1:27" s="207" customFormat="1" ht="24" customHeight="1">
      <c r="A347" s="234" t="s">
        <v>626</v>
      </c>
      <c r="B347" s="235"/>
      <c r="C347" s="235"/>
      <c r="D347" s="235">
        <v>478</v>
      </c>
      <c r="E347" s="235"/>
      <c r="F347" s="235"/>
      <c r="G347" s="235">
        <v>799</v>
      </c>
      <c r="H347" s="231" t="e">
        <f t="shared" si="101"/>
        <v>#DIV/0!</v>
      </c>
      <c r="I347" s="255"/>
      <c r="O347" s="251"/>
      <c r="P347" s="252"/>
      <c r="AA347" s="254">
        <f t="shared" si="104"/>
        <v>0</v>
      </c>
    </row>
    <row r="348" spans="1:252" s="207" customFormat="1" ht="24" customHeight="1">
      <c r="A348" s="234" t="s">
        <v>627</v>
      </c>
      <c r="B348" s="235"/>
      <c r="C348" s="235"/>
      <c r="D348" s="235"/>
      <c r="E348" s="235"/>
      <c r="F348" s="235"/>
      <c r="G348" s="235"/>
      <c r="H348" s="231" t="e">
        <f t="shared" si="101"/>
        <v>#DIV/0!</v>
      </c>
      <c r="I348" s="255"/>
      <c r="J348" s="254"/>
      <c r="K348" s="254"/>
      <c r="L348" s="254"/>
      <c r="M348" s="254"/>
      <c r="N348" s="254"/>
      <c r="O348" s="251"/>
      <c r="P348" s="252"/>
      <c r="X348" s="262"/>
      <c r="Y348" s="262"/>
      <c r="Z348" s="262"/>
      <c r="AA348" s="254">
        <f t="shared" si="104"/>
        <v>0</v>
      </c>
      <c r="AB348" s="262"/>
      <c r="AC348" s="262"/>
      <c r="AD348" s="262"/>
      <c r="AE348" s="262"/>
      <c r="AF348" s="262"/>
      <c r="AG348" s="262"/>
      <c r="AH348" s="262"/>
      <c r="AI348" s="262"/>
      <c r="AJ348" s="262"/>
      <c r="AK348" s="262"/>
      <c r="AL348" s="262"/>
      <c r="AM348" s="262"/>
      <c r="AN348" s="262"/>
      <c r="AO348" s="262"/>
      <c r="AP348" s="262"/>
      <c r="AQ348" s="262"/>
      <c r="AR348" s="262"/>
      <c r="AS348" s="262"/>
      <c r="AT348" s="262"/>
      <c r="AU348" s="262"/>
      <c r="AV348" s="262"/>
      <c r="AW348" s="262"/>
      <c r="AX348" s="262"/>
      <c r="AY348" s="262"/>
      <c r="AZ348" s="262"/>
      <c r="BA348" s="262"/>
      <c r="BB348" s="262"/>
      <c r="BC348" s="262"/>
      <c r="BD348" s="262"/>
      <c r="BE348" s="262"/>
      <c r="BF348" s="262"/>
      <c r="BG348" s="262"/>
      <c r="BH348" s="262"/>
      <c r="BI348" s="262"/>
      <c r="BJ348" s="262"/>
      <c r="BK348" s="262"/>
      <c r="BL348" s="262"/>
      <c r="BM348" s="262"/>
      <c r="BN348" s="262"/>
      <c r="BO348" s="262"/>
      <c r="BP348" s="262"/>
      <c r="BQ348" s="262"/>
      <c r="BR348" s="262"/>
      <c r="BS348" s="262"/>
      <c r="BT348" s="262"/>
      <c r="BU348" s="262"/>
      <c r="BV348" s="262"/>
      <c r="BW348" s="262"/>
      <c r="BX348" s="262"/>
      <c r="BY348" s="262"/>
      <c r="BZ348" s="262"/>
      <c r="CA348" s="262"/>
      <c r="CB348" s="262"/>
      <c r="CC348" s="262"/>
      <c r="CD348" s="262"/>
      <c r="CE348" s="262"/>
      <c r="CF348" s="262"/>
      <c r="CG348" s="262"/>
      <c r="CH348" s="262"/>
      <c r="CI348" s="262"/>
      <c r="CJ348" s="262"/>
      <c r="CK348" s="262"/>
      <c r="CL348" s="262"/>
      <c r="CM348" s="262"/>
      <c r="CN348" s="262"/>
      <c r="CO348" s="262"/>
      <c r="CP348" s="262"/>
      <c r="CQ348" s="262"/>
      <c r="CR348" s="262"/>
      <c r="CS348" s="262"/>
      <c r="CT348" s="262"/>
      <c r="CU348" s="262"/>
      <c r="CV348" s="262"/>
      <c r="CW348" s="262"/>
      <c r="CX348" s="262"/>
      <c r="CY348" s="262"/>
      <c r="CZ348" s="262"/>
      <c r="DA348" s="262"/>
      <c r="DB348" s="262"/>
      <c r="DC348" s="262"/>
      <c r="DD348" s="262"/>
      <c r="DE348" s="262"/>
      <c r="DF348" s="262"/>
      <c r="DG348" s="262"/>
      <c r="DH348" s="262"/>
      <c r="DI348" s="262"/>
      <c r="DJ348" s="262"/>
      <c r="DK348" s="262"/>
      <c r="DL348" s="262"/>
      <c r="DM348" s="262"/>
      <c r="DN348" s="262"/>
      <c r="DO348" s="262"/>
      <c r="DP348" s="262"/>
      <c r="DQ348" s="262"/>
      <c r="DR348" s="262"/>
      <c r="DS348" s="262"/>
      <c r="DT348" s="262"/>
      <c r="DU348" s="262"/>
      <c r="DV348" s="262"/>
      <c r="DW348" s="262"/>
      <c r="DX348" s="262"/>
      <c r="DY348" s="262"/>
      <c r="DZ348" s="262"/>
      <c r="EA348" s="262"/>
      <c r="EB348" s="262"/>
      <c r="EC348" s="262"/>
      <c r="ED348" s="262"/>
      <c r="EE348" s="262"/>
      <c r="EF348" s="262"/>
      <c r="EG348" s="262"/>
      <c r="EH348" s="262"/>
      <c r="EI348" s="262"/>
      <c r="EJ348" s="262"/>
      <c r="EK348" s="262"/>
      <c r="EL348" s="262"/>
      <c r="EM348" s="262"/>
      <c r="EN348" s="262"/>
      <c r="EO348" s="262"/>
      <c r="EP348" s="262"/>
      <c r="EQ348" s="262"/>
      <c r="ER348" s="262"/>
      <c r="ES348" s="262"/>
      <c r="ET348" s="262"/>
      <c r="EU348" s="262"/>
      <c r="EV348" s="262"/>
      <c r="EW348" s="262"/>
      <c r="EX348" s="262"/>
      <c r="EY348" s="262"/>
      <c r="EZ348" s="262"/>
      <c r="FA348" s="262"/>
      <c r="FB348" s="262"/>
      <c r="FC348" s="262"/>
      <c r="FD348" s="262"/>
      <c r="FE348" s="262"/>
      <c r="FF348" s="262"/>
      <c r="FG348" s="262"/>
      <c r="FH348" s="262"/>
      <c r="FI348" s="262"/>
      <c r="FJ348" s="262"/>
      <c r="FK348" s="262"/>
      <c r="FL348" s="262"/>
      <c r="FM348" s="262"/>
      <c r="FN348" s="262"/>
      <c r="FO348" s="262"/>
      <c r="FP348" s="262"/>
      <c r="FQ348" s="262"/>
      <c r="FR348" s="262"/>
      <c r="FS348" s="262"/>
      <c r="FT348" s="262"/>
      <c r="FU348" s="262"/>
      <c r="FV348" s="262"/>
      <c r="FW348" s="262"/>
      <c r="FX348" s="262"/>
      <c r="FY348" s="262"/>
      <c r="FZ348" s="262"/>
      <c r="GA348" s="262"/>
      <c r="GB348" s="262"/>
      <c r="GC348" s="262"/>
      <c r="GD348" s="262"/>
      <c r="GE348" s="262"/>
      <c r="GF348" s="262"/>
      <c r="GG348" s="262"/>
      <c r="GH348" s="262"/>
      <c r="GI348" s="262"/>
      <c r="GJ348" s="262"/>
      <c r="GK348" s="262"/>
      <c r="GL348" s="262"/>
      <c r="GM348" s="262"/>
      <c r="GN348" s="262"/>
      <c r="GO348" s="262"/>
      <c r="GP348" s="262"/>
      <c r="GQ348" s="262"/>
      <c r="GR348" s="262"/>
      <c r="GS348" s="262"/>
      <c r="GT348" s="262"/>
      <c r="GU348" s="262"/>
      <c r="GV348" s="262"/>
      <c r="GW348" s="262"/>
      <c r="GX348" s="262"/>
      <c r="GY348" s="262"/>
      <c r="GZ348" s="262"/>
      <c r="HA348" s="262"/>
      <c r="HB348" s="262"/>
      <c r="HC348" s="262"/>
      <c r="HD348" s="262"/>
      <c r="HE348" s="262"/>
      <c r="HF348" s="262"/>
      <c r="HG348" s="262"/>
      <c r="HH348" s="262"/>
      <c r="HI348" s="262"/>
      <c r="HJ348" s="262"/>
      <c r="HK348" s="262"/>
      <c r="HL348" s="262"/>
      <c r="HM348" s="262"/>
      <c r="HN348" s="262"/>
      <c r="HO348" s="262"/>
      <c r="HP348" s="265"/>
      <c r="HQ348" s="265"/>
      <c r="HR348" s="265"/>
      <c r="HS348" s="265"/>
      <c r="HT348" s="265"/>
      <c r="HU348" s="265"/>
      <c r="HV348" s="265"/>
      <c r="HW348" s="265"/>
      <c r="HX348" s="265"/>
      <c r="HY348" s="265"/>
      <c r="HZ348" s="265"/>
      <c r="IA348" s="265"/>
      <c r="IB348" s="265"/>
      <c r="IC348" s="265"/>
      <c r="ID348" s="265"/>
      <c r="IE348" s="265"/>
      <c r="IF348" s="265"/>
      <c r="IG348" s="265"/>
      <c r="IH348" s="265"/>
      <c r="II348" s="265"/>
      <c r="IJ348" s="265"/>
      <c r="IK348" s="265"/>
      <c r="IL348" s="265"/>
      <c r="IM348" s="265"/>
      <c r="IN348" s="265"/>
      <c r="IO348" s="265"/>
      <c r="IP348" s="265"/>
      <c r="IQ348" s="265"/>
      <c r="IR348" s="265"/>
    </row>
    <row r="349" spans="1:27" s="207" customFormat="1" ht="24" customHeight="1">
      <c r="A349" s="234" t="s">
        <v>628</v>
      </c>
      <c r="B349" s="235">
        <f>1100+1600</f>
        <v>2700</v>
      </c>
      <c r="C349" s="235">
        <f>1100+1600</f>
        <v>2700</v>
      </c>
      <c r="D349" s="235">
        <v>150</v>
      </c>
      <c r="E349" s="235">
        <v>5126</v>
      </c>
      <c r="F349" s="235">
        <v>5126</v>
      </c>
      <c r="G349" s="235"/>
      <c r="H349" s="231">
        <f t="shared" si="101"/>
        <v>1.8985185185185185</v>
      </c>
      <c r="I349" s="255"/>
      <c r="O349" s="251"/>
      <c r="P349" s="252"/>
      <c r="AA349" s="254">
        <f t="shared" si="104"/>
        <v>0</v>
      </c>
    </row>
    <row r="350" spans="1:27" s="207" customFormat="1" ht="24" customHeight="1">
      <c r="A350" s="234" t="s">
        <v>629</v>
      </c>
      <c r="B350" s="235">
        <f aca="true" t="shared" si="106" ref="B350:G350">SUM(B351:B353)</f>
        <v>26</v>
      </c>
      <c r="C350" s="235">
        <f t="shared" si="106"/>
        <v>26</v>
      </c>
      <c r="D350" s="235">
        <f t="shared" si="106"/>
        <v>882</v>
      </c>
      <c r="E350" s="235">
        <f t="shared" si="106"/>
        <v>0</v>
      </c>
      <c r="F350" s="235">
        <f t="shared" si="106"/>
        <v>0</v>
      </c>
      <c r="G350" s="235">
        <f t="shared" si="106"/>
        <v>0</v>
      </c>
      <c r="H350" s="231">
        <f t="shared" si="101"/>
        <v>0</v>
      </c>
      <c r="I350" s="255"/>
      <c r="J350" s="250"/>
      <c r="O350" s="251"/>
      <c r="P350" s="252"/>
      <c r="AA350" s="254">
        <f t="shared" si="104"/>
        <v>0</v>
      </c>
    </row>
    <row r="351" spans="1:27" s="207" customFormat="1" ht="24" customHeight="1">
      <c r="A351" s="234" t="s">
        <v>630</v>
      </c>
      <c r="B351" s="235">
        <v>26</v>
      </c>
      <c r="C351" s="235">
        <v>26</v>
      </c>
      <c r="D351" s="235"/>
      <c r="E351" s="235"/>
      <c r="F351" s="235"/>
      <c r="G351" s="235"/>
      <c r="H351" s="231">
        <f t="shared" si="101"/>
        <v>0</v>
      </c>
      <c r="I351" s="267"/>
      <c r="J351" s="250"/>
      <c r="O351" s="251"/>
      <c r="P351" s="252"/>
      <c r="AA351" s="254">
        <f t="shared" si="104"/>
        <v>0</v>
      </c>
    </row>
    <row r="352" spans="1:27" s="207" customFormat="1" ht="24" customHeight="1">
      <c r="A352" s="234" t="s">
        <v>631</v>
      </c>
      <c r="B352" s="235"/>
      <c r="C352" s="235"/>
      <c r="D352" s="235"/>
      <c r="E352" s="235"/>
      <c r="F352" s="235"/>
      <c r="G352" s="235"/>
      <c r="H352" s="231" t="e">
        <f t="shared" si="101"/>
        <v>#DIV/0!</v>
      </c>
      <c r="I352" s="255"/>
      <c r="O352" s="251"/>
      <c r="AA352" s="254">
        <f t="shared" si="104"/>
        <v>0</v>
      </c>
    </row>
    <row r="353" spans="1:27" s="207" customFormat="1" ht="24" customHeight="1">
      <c r="A353" s="275" t="s">
        <v>632</v>
      </c>
      <c r="B353" s="235"/>
      <c r="C353" s="235"/>
      <c r="D353" s="235">
        <v>882</v>
      </c>
      <c r="E353" s="235"/>
      <c r="F353" s="235"/>
      <c r="G353" s="235"/>
      <c r="H353" s="231" t="e">
        <f t="shared" si="101"/>
        <v>#DIV/0!</v>
      </c>
      <c r="I353" s="255"/>
      <c r="O353" s="251"/>
      <c r="AA353" s="254"/>
    </row>
    <row r="354" spans="1:27" s="207" customFormat="1" ht="24" customHeight="1">
      <c r="A354" s="234" t="s">
        <v>633</v>
      </c>
      <c r="B354" s="235">
        <f aca="true" t="shared" si="107" ref="B354:G354">SUM(B355:B356)</f>
        <v>1936</v>
      </c>
      <c r="C354" s="235">
        <f t="shared" si="107"/>
        <v>1936</v>
      </c>
      <c r="D354" s="235">
        <f t="shared" si="107"/>
        <v>0</v>
      </c>
      <c r="E354" s="235">
        <f t="shared" si="107"/>
        <v>1936</v>
      </c>
      <c r="F354" s="235">
        <f t="shared" si="107"/>
        <v>1936</v>
      </c>
      <c r="G354" s="235">
        <f t="shared" si="107"/>
        <v>0</v>
      </c>
      <c r="H354" s="231">
        <f t="shared" si="101"/>
        <v>1</v>
      </c>
      <c r="I354" s="255"/>
      <c r="O354" s="251"/>
      <c r="P354" s="252"/>
      <c r="AA354" s="254">
        <f>F354-E354</f>
        <v>0</v>
      </c>
    </row>
    <row r="355" spans="1:27" s="207" customFormat="1" ht="24" customHeight="1">
      <c r="A355" s="234" t="s">
        <v>634</v>
      </c>
      <c r="B355" s="235"/>
      <c r="C355" s="235"/>
      <c r="D355" s="235"/>
      <c r="E355" s="235"/>
      <c r="F355" s="235"/>
      <c r="G355" s="235"/>
      <c r="H355" s="231" t="e">
        <f t="shared" si="101"/>
        <v>#DIV/0!</v>
      </c>
      <c r="I355" s="255"/>
      <c r="O355" s="251"/>
      <c r="P355" s="252"/>
      <c r="S355" s="206"/>
      <c r="AA355" s="254">
        <f>F355-E355</f>
        <v>0</v>
      </c>
    </row>
    <row r="356" spans="1:252" s="207" customFormat="1" ht="30.75" customHeight="1">
      <c r="A356" s="234" t="s">
        <v>635</v>
      </c>
      <c r="B356" s="235">
        <v>1936</v>
      </c>
      <c r="C356" s="235">
        <v>1936</v>
      </c>
      <c r="D356" s="235"/>
      <c r="E356" s="235">
        <v>1936</v>
      </c>
      <c r="F356" s="235">
        <v>1936</v>
      </c>
      <c r="G356" s="235"/>
      <c r="H356" s="231">
        <f t="shared" si="101"/>
        <v>1</v>
      </c>
      <c r="I356" s="255"/>
      <c r="J356" s="254"/>
      <c r="K356" s="254"/>
      <c r="L356" s="254"/>
      <c r="M356" s="254"/>
      <c r="N356" s="254"/>
      <c r="O356" s="251"/>
      <c r="P356" s="252"/>
      <c r="X356" s="262"/>
      <c r="Y356" s="262"/>
      <c r="Z356" s="262"/>
      <c r="AA356" s="254">
        <f>F356-E356</f>
        <v>0</v>
      </c>
      <c r="AB356" s="262"/>
      <c r="AC356" s="262"/>
      <c r="AD356" s="262"/>
      <c r="AE356" s="262"/>
      <c r="AF356" s="262"/>
      <c r="AG356" s="262"/>
      <c r="AH356" s="262"/>
      <c r="AI356" s="262"/>
      <c r="AJ356" s="262"/>
      <c r="AK356" s="262"/>
      <c r="AL356" s="262"/>
      <c r="AM356" s="262"/>
      <c r="AN356" s="262"/>
      <c r="AO356" s="262"/>
      <c r="AP356" s="262"/>
      <c r="AQ356" s="262"/>
      <c r="AR356" s="262"/>
      <c r="AS356" s="262"/>
      <c r="AT356" s="262"/>
      <c r="AU356" s="262"/>
      <c r="AV356" s="262"/>
      <c r="AW356" s="262"/>
      <c r="AX356" s="262"/>
      <c r="AY356" s="262"/>
      <c r="AZ356" s="262"/>
      <c r="BA356" s="262"/>
      <c r="BB356" s="262"/>
      <c r="BC356" s="262"/>
      <c r="BD356" s="262"/>
      <c r="BE356" s="262"/>
      <c r="BF356" s="262"/>
      <c r="BG356" s="262"/>
      <c r="BH356" s="262"/>
      <c r="BI356" s="262"/>
      <c r="BJ356" s="262"/>
      <c r="BK356" s="262"/>
      <c r="BL356" s="262"/>
      <c r="BM356" s="262"/>
      <c r="BN356" s="262"/>
      <c r="BO356" s="262"/>
      <c r="BP356" s="262"/>
      <c r="BQ356" s="262"/>
      <c r="BR356" s="262"/>
      <c r="BS356" s="262"/>
      <c r="BT356" s="262"/>
      <c r="BU356" s="262"/>
      <c r="BV356" s="262"/>
      <c r="BW356" s="262"/>
      <c r="BX356" s="262"/>
      <c r="BY356" s="262"/>
      <c r="BZ356" s="262"/>
      <c r="CA356" s="262"/>
      <c r="CB356" s="262"/>
      <c r="CC356" s="262"/>
      <c r="CD356" s="262"/>
      <c r="CE356" s="262"/>
      <c r="CF356" s="262"/>
      <c r="CG356" s="262"/>
      <c r="CH356" s="262"/>
      <c r="CI356" s="262"/>
      <c r="CJ356" s="262"/>
      <c r="CK356" s="262"/>
      <c r="CL356" s="262"/>
      <c r="CM356" s="262"/>
      <c r="CN356" s="262"/>
      <c r="CO356" s="262"/>
      <c r="CP356" s="262"/>
      <c r="CQ356" s="262"/>
      <c r="CR356" s="262"/>
      <c r="CS356" s="262"/>
      <c r="CT356" s="262"/>
      <c r="CU356" s="262"/>
      <c r="CV356" s="262"/>
      <c r="CW356" s="262"/>
      <c r="CX356" s="262"/>
      <c r="CY356" s="262"/>
      <c r="CZ356" s="262"/>
      <c r="DA356" s="262"/>
      <c r="DB356" s="262"/>
      <c r="DC356" s="262"/>
      <c r="DD356" s="262"/>
      <c r="DE356" s="262"/>
      <c r="DF356" s="262"/>
      <c r="DG356" s="262"/>
      <c r="DH356" s="262"/>
      <c r="DI356" s="262"/>
      <c r="DJ356" s="262"/>
      <c r="DK356" s="262"/>
      <c r="DL356" s="262"/>
      <c r="DM356" s="262"/>
      <c r="DN356" s="262"/>
      <c r="DO356" s="262"/>
      <c r="DP356" s="262"/>
      <c r="DQ356" s="262"/>
      <c r="DR356" s="262"/>
      <c r="DS356" s="262"/>
      <c r="DT356" s="262"/>
      <c r="DU356" s="262"/>
      <c r="DV356" s="262"/>
      <c r="DW356" s="262"/>
      <c r="DX356" s="262"/>
      <c r="DY356" s="262"/>
      <c r="DZ356" s="262"/>
      <c r="EA356" s="262"/>
      <c r="EB356" s="262"/>
      <c r="EC356" s="262"/>
      <c r="ED356" s="262"/>
      <c r="EE356" s="262"/>
      <c r="EF356" s="262"/>
      <c r="EG356" s="262"/>
      <c r="EH356" s="262"/>
      <c r="EI356" s="262"/>
      <c r="EJ356" s="262"/>
      <c r="EK356" s="262"/>
      <c r="EL356" s="262"/>
      <c r="EM356" s="262"/>
      <c r="EN356" s="262"/>
      <c r="EO356" s="262"/>
      <c r="EP356" s="262"/>
      <c r="EQ356" s="262"/>
      <c r="ER356" s="262"/>
      <c r="ES356" s="262"/>
      <c r="ET356" s="262"/>
      <c r="EU356" s="262"/>
      <c r="EV356" s="262"/>
      <c r="EW356" s="262"/>
      <c r="EX356" s="262"/>
      <c r="EY356" s="262"/>
      <c r="EZ356" s="262"/>
      <c r="FA356" s="262"/>
      <c r="FB356" s="262"/>
      <c r="FC356" s="262"/>
      <c r="FD356" s="262"/>
      <c r="FE356" s="262"/>
      <c r="FF356" s="262"/>
      <c r="FG356" s="262"/>
      <c r="FH356" s="262"/>
      <c r="FI356" s="262"/>
      <c r="FJ356" s="262"/>
      <c r="FK356" s="262"/>
      <c r="FL356" s="262"/>
      <c r="FM356" s="262"/>
      <c r="FN356" s="262"/>
      <c r="FO356" s="262"/>
      <c r="FP356" s="262"/>
      <c r="FQ356" s="262"/>
      <c r="FR356" s="262"/>
      <c r="FS356" s="262"/>
      <c r="FT356" s="262"/>
      <c r="FU356" s="262"/>
      <c r="FV356" s="262"/>
      <c r="FW356" s="262"/>
      <c r="FX356" s="262"/>
      <c r="FY356" s="262"/>
      <c r="FZ356" s="262"/>
      <c r="GA356" s="262"/>
      <c r="GB356" s="262"/>
      <c r="GC356" s="262"/>
      <c r="GD356" s="262"/>
      <c r="GE356" s="262"/>
      <c r="GF356" s="262"/>
      <c r="GG356" s="262"/>
      <c r="GH356" s="262"/>
      <c r="GI356" s="262"/>
      <c r="GJ356" s="262"/>
      <c r="GK356" s="262"/>
      <c r="GL356" s="262"/>
      <c r="GM356" s="262"/>
      <c r="GN356" s="262"/>
      <c r="GO356" s="262"/>
      <c r="GP356" s="262"/>
      <c r="GQ356" s="262"/>
      <c r="GR356" s="262"/>
      <c r="GS356" s="262"/>
      <c r="GT356" s="262"/>
      <c r="GU356" s="262"/>
      <c r="GV356" s="262"/>
      <c r="GW356" s="262"/>
      <c r="GX356" s="262"/>
      <c r="GY356" s="262"/>
      <c r="GZ356" s="262"/>
      <c r="HA356" s="262"/>
      <c r="HB356" s="262"/>
      <c r="HC356" s="262"/>
      <c r="HD356" s="262"/>
      <c r="HE356" s="262"/>
      <c r="HF356" s="262"/>
      <c r="HG356" s="262"/>
      <c r="HH356" s="262"/>
      <c r="HI356" s="262"/>
      <c r="HJ356" s="262"/>
      <c r="HK356" s="262"/>
      <c r="HL356" s="262"/>
      <c r="HM356" s="262"/>
      <c r="HN356" s="262"/>
      <c r="HO356" s="262"/>
      <c r="HP356" s="265"/>
      <c r="HQ356" s="265"/>
      <c r="HR356" s="265"/>
      <c r="HS356" s="265"/>
      <c r="HT356" s="265"/>
      <c r="HU356" s="265"/>
      <c r="HV356" s="265"/>
      <c r="HW356" s="265"/>
      <c r="HX356" s="265"/>
      <c r="HY356" s="265"/>
      <c r="HZ356" s="265"/>
      <c r="IA356" s="265"/>
      <c r="IB356" s="265"/>
      <c r="IC356" s="265"/>
      <c r="ID356" s="265"/>
      <c r="IE356" s="265"/>
      <c r="IF356" s="265"/>
      <c r="IG356" s="265"/>
      <c r="IH356" s="265"/>
      <c r="II356" s="265"/>
      <c r="IJ356" s="265"/>
      <c r="IK356" s="265"/>
      <c r="IL356" s="265"/>
      <c r="IM356" s="265"/>
      <c r="IN356" s="265"/>
      <c r="IO356" s="265"/>
      <c r="IP356" s="265"/>
      <c r="IQ356" s="265"/>
      <c r="IR356" s="265"/>
    </row>
    <row r="357" spans="1:27" s="207" customFormat="1" ht="24" customHeight="1">
      <c r="A357" s="234" t="s">
        <v>636</v>
      </c>
      <c r="B357" s="235">
        <f aca="true" t="shared" si="108" ref="B357:G357">SUM(B358:B359)</f>
        <v>0</v>
      </c>
      <c r="C357" s="235">
        <f t="shared" si="108"/>
        <v>0</v>
      </c>
      <c r="D357" s="235">
        <f t="shared" si="108"/>
        <v>56</v>
      </c>
      <c r="E357" s="235">
        <f t="shared" si="108"/>
        <v>0</v>
      </c>
      <c r="F357" s="235">
        <f t="shared" si="108"/>
        <v>0</v>
      </c>
      <c r="G357" s="235">
        <f t="shared" si="108"/>
        <v>42</v>
      </c>
      <c r="H357" s="231" t="e">
        <f t="shared" si="101"/>
        <v>#DIV/0!</v>
      </c>
      <c r="I357" s="255"/>
      <c r="O357" s="251"/>
      <c r="P357" s="252"/>
      <c r="AA357" s="254">
        <f>F357-E357</f>
        <v>0</v>
      </c>
    </row>
    <row r="358" spans="1:27" s="207" customFormat="1" ht="24" customHeight="1">
      <c r="A358" s="234" t="s">
        <v>637</v>
      </c>
      <c r="B358" s="235"/>
      <c r="C358" s="235"/>
      <c r="D358" s="235"/>
      <c r="E358" s="235"/>
      <c r="F358" s="235"/>
      <c r="G358" s="235"/>
      <c r="H358" s="231" t="e">
        <f t="shared" si="101"/>
        <v>#DIV/0!</v>
      </c>
      <c r="I358" s="255"/>
      <c r="O358" s="251"/>
      <c r="P358" s="252"/>
      <c r="AA358" s="254">
        <f>F358-E358</f>
        <v>0</v>
      </c>
    </row>
    <row r="359" spans="1:27" s="207" customFormat="1" ht="24" customHeight="1">
      <c r="A359" s="234" t="s">
        <v>638</v>
      </c>
      <c r="B359" s="235"/>
      <c r="C359" s="235"/>
      <c r="D359" s="235">
        <v>56</v>
      </c>
      <c r="E359" s="235"/>
      <c r="F359" s="235"/>
      <c r="G359" s="235">
        <v>42</v>
      </c>
      <c r="H359" s="231" t="e">
        <f t="shared" si="101"/>
        <v>#DIV/0!</v>
      </c>
      <c r="I359" s="255" t="s">
        <v>639</v>
      </c>
      <c r="O359" s="251"/>
      <c r="P359" s="252"/>
      <c r="AA359" s="254">
        <f aca="true" t="shared" si="109" ref="AA359:AA391">F359-E359</f>
        <v>0</v>
      </c>
    </row>
    <row r="360" spans="1:27" s="207" customFormat="1" ht="24" customHeight="1">
      <c r="A360" s="234" t="s">
        <v>640</v>
      </c>
      <c r="B360" s="235">
        <f aca="true" t="shared" si="110" ref="B360:G360">SUM(B361)</f>
        <v>60</v>
      </c>
      <c r="C360" s="235">
        <f t="shared" si="110"/>
        <v>60</v>
      </c>
      <c r="D360" s="235">
        <f t="shared" si="110"/>
        <v>0</v>
      </c>
      <c r="E360" s="235">
        <f t="shared" si="110"/>
        <v>54</v>
      </c>
      <c r="F360" s="235">
        <f t="shared" si="110"/>
        <v>54</v>
      </c>
      <c r="G360" s="235">
        <f t="shared" si="110"/>
        <v>0</v>
      </c>
      <c r="H360" s="231">
        <f t="shared" si="101"/>
        <v>0.9</v>
      </c>
      <c r="I360" s="269"/>
      <c r="J360" s="250"/>
      <c r="O360" s="251"/>
      <c r="P360" s="234"/>
      <c r="AA360" s="254">
        <f t="shared" si="109"/>
        <v>0</v>
      </c>
    </row>
    <row r="361" spans="1:27" s="207" customFormat="1" ht="24" customHeight="1">
      <c r="A361" s="234" t="s">
        <v>641</v>
      </c>
      <c r="B361" s="235">
        <v>60</v>
      </c>
      <c r="C361" s="235">
        <f>60</f>
        <v>60</v>
      </c>
      <c r="D361" s="235"/>
      <c r="E361" s="235">
        <v>54</v>
      </c>
      <c r="F361" s="235">
        <v>54</v>
      </c>
      <c r="G361" s="235"/>
      <c r="H361" s="231">
        <f t="shared" si="101"/>
        <v>0.9</v>
      </c>
      <c r="I361" s="255"/>
      <c r="O361" s="251"/>
      <c r="P361" s="234"/>
      <c r="AA361" s="254">
        <f t="shared" si="109"/>
        <v>0</v>
      </c>
    </row>
    <row r="362" spans="1:27" s="205" customFormat="1" ht="24" customHeight="1">
      <c r="A362" s="232" t="s">
        <v>642</v>
      </c>
      <c r="B362" s="233">
        <f aca="true" t="shared" si="111" ref="B362:G362">B363+B367+B369+B371+B374+B376</f>
        <v>663</v>
      </c>
      <c r="C362" s="233">
        <f t="shared" si="111"/>
        <v>663</v>
      </c>
      <c r="D362" s="233">
        <f t="shared" si="111"/>
        <v>704</v>
      </c>
      <c r="E362" s="233">
        <f t="shared" si="111"/>
        <v>532</v>
      </c>
      <c r="F362" s="233">
        <f t="shared" si="111"/>
        <v>532</v>
      </c>
      <c r="G362" s="233">
        <f t="shared" si="111"/>
        <v>0</v>
      </c>
      <c r="H362" s="231">
        <f t="shared" si="101"/>
        <v>0.8024132730015083</v>
      </c>
      <c r="I362" s="245"/>
      <c r="J362" s="246"/>
      <c r="O362" s="247"/>
      <c r="P362" s="248"/>
      <c r="Q362" s="261"/>
      <c r="R362" s="261"/>
      <c r="S362" s="261"/>
      <c r="AA362" s="263">
        <f t="shared" si="109"/>
        <v>0</v>
      </c>
    </row>
    <row r="363" spans="1:27" s="207" customFormat="1" ht="24" customHeight="1">
      <c r="A363" s="234" t="s">
        <v>643</v>
      </c>
      <c r="B363" s="235">
        <f aca="true" t="shared" si="112" ref="B363:G363">SUM(B364:B366)</f>
        <v>543</v>
      </c>
      <c r="C363" s="235">
        <f t="shared" si="112"/>
        <v>543</v>
      </c>
      <c r="D363" s="235">
        <f t="shared" si="112"/>
        <v>0</v>
      </c>
      <c r="E363" s="235">
        <f t="shared" si="112"/>
        <v>424</v>
      </c>
      <c r="F363" s="235">
        <f t="shared" si="112"/>
        <v>424</v>
      </c>
      <c r="G363" s="235">
        <f t="shared" si="112"/>
        <v>0</v>
      </c>
      <c r="H363" s="231">
        <f t="shared" si="101"/>
        <v>0.7808471454880295</v>
      </c>
      <c r="I363" s="249"/>
      <c r="J363" s="250"/>
      <c r="O363" s="251"/>
      <c r="P363" s="252"/>
      <c r="AA363" s="254">
        <f t="shared" si="109"/>
        <v>0</v>
      </c>
    </row>
    <row r="364" spans="1:27" s="207" customFormat="1" ht="28.5" customHeight="1">
      <c r="A364" s="234" t="s">
        <v>644</v>
      </c>
      <c r="B364" s="235">
        <v>477</v>
      </c>
      <c r="C364" s="235">
        <v>477</v>
      </c>
      <c r="D364" s="235"/>
      <c r="E364" s="235">
        <v>368</v>
      </c>
      <c r="F364" s="235">
        <f>188+168+12</f>
        <v>368</v>
      </c>
      <c r="G364" s="235"/>
      <c r="H364" s="231">
        <f t="shared" si="101"/>
        <v>0.7714884696016772</v>
      </c>
      <c r="I364" s="255"/>
      <c r="O364" s="251"/>
      <c r="P364" s="252"/>
      <c r="Q364" s="206"/>
      <c r="R364" s="206"/>
      <c r="AA364" s="254">
        <f t="shared" si="109"/>
        <v>0</v>
      </c>
    </row>
    <row r="365" spans="1:27" s="207" customFormat="1" ht="24" customHeight="1">
      <c r="A365" s="234" t="s">
        <v>645</v>
      </c>
      <c r="B365" s="235"/>
      <c r="C365" s="235"/>
      <c r="D365" s="235"/>
      <c r="E365" s="235"/>
      <c r="F365" s="235"/>
      <c r="G365" s="235"/>
      <c r="H365" s="231" t="e">
        <f t="shared" si="101"/>
        <v>#DIV/0!</v>
      </c>
      <c r="I365" s="255"/>
      <c r="O365" s="251"/>
      <c r="P365" s="252"/>
      <c r="AA365" s="254">
        <f t="shared" si="109"/>
        <v>0</v>
      </c>
    </row>
    <row r="366" spans="1:27" s="207" customFormat="1" ht="24" customHeight="1">
      <c r="A366" s="234" t="s">
        <v>646</v>
      </c>
      <c r="B366" s="235">
        <v>66</v>
      </c>
      <c r="C366" s="235">
        <f>35+31</f>
        <v>66</v>
      </c>
      <c r="D366" s="235"/>
      <c r="E366" s="235">
        <v>56</v>
      </c>
      <c r="F366" s="235">
        <f>38+18</f>
        <v>56</v>
      </c>
      <c r="G366" s="235"/>
      <c r="H366" s="231">
        <f t="shared" si="101"/>
        <v>0.8484848484848485</v>
      </c>
      <c r="I366" s="255"/>
      <c r="O366" s="251"/>
      <c r="P366" s="252"/>
      <c r="S366" s="206"/>
      <c r="AA366" s="254">
        <f t="shared" si="109"/>
        <v>0</v>
      </c>
    </row>
    <row r="367" spans="1:27" s="207" customFormat="1" ht="24" customHeight="1">
      <c r="A367" s="234" t="s">
        <v>647</v>
      </c>
      <c r="B367" s="235">
        <f aca="true" t="shared" si="113" ref="B367:G367">SUM(B368)</f>
        <v>0</v>
      </c>
      <c r="C367" s="235">
        <f t="shared" si="113"/>
        <v>0</v>
      </c>
      <c r="D367" s="235">
        <f t="shared" si="113"/>
        <v>0</v>
      </c>
      <c r="E367" s="235">
        <f t="shared" si="113"/>
        <v>0</v>
      </c>
      <c r="F367" s="235">
        <f t="shared" si="113"/>
        <v>0</v>
      </c>
      <c r="G367" s="235">
        <f t="shared" si="113"/>
        <v>0</v>
      </c>
      <c r="H367" s="231" t="e">
        <f t="shared" si="101"/>
        <v>#DIV/0!</v>
      </c>
      <c r="I367" s="255"/>
      <c r="O367" s="251"/>
      <c r="P367" s="252"/>
      <c r="AA367" s="254">
        <f t="shared" si="109"/>
        <v>0</v>
      </c>
    </row>
    <row r="368" spans="1:252" s="207" customFormat="1" ht="24" customHeight="1">
      <c r="A368" s="234" t="s">
        <v>648</v>
      </c>
      <c r="B368" s="235"/>
      <c r="C368" s="235"/>
      <c r="D368" s="235"/>
      <c r="E368" s="235"/>
      <c r="F368" s="235"/>
      <c r="G368" s="235"/>
      <c r="H368" s="231" t="e">
        <f t="shared" si="101"/>
        <v>#DIV/0!</v>
      </c>
      <c r="I368" s="255"/>
      <c r="J368" s="254"/>
      <c r="K368" s="254"/>
      <c r="L368" s="254"/>
      <c r="M368" s="254"/>
      <c r="N368" s="254"/>
      <c r="O368" s="251"/>
      <c r="P368" s="252"/>
      <c r="X368" s="262"/>
      <c r="Y368" s="262"/>
      <c r="Z368" s="262"/>
      <c r="AA368" s="254">
        <f t="shared" si="109"/>
        <v>0</v>
      </c>
      <c r="AB368" s="262"/>
      <c r="AC368" s="262"/>
      <c r="AD368" s="262"/>
      <c r="AE368" s="262"/>
      <c r="AF368" s="262"/>
      <c r="AG368" s="262"/>
      <c r="AH368" s="262"/>
      <c r="AI368" s="262"/>
      <c r="AJ368" s="262"/>
      <c r="AK368" s="262"/>
      <c r="AL368" s="262"/>
      <c r="AM368" s="262"/>
      <c r="AN368" s="262"/>
      <c r="AO368" s="262"/>
      <c r="AP368" s="262"/>
      <c r="AQ368" s="262"/>
      <c r="AR368" s="262"/>
      <c r="AS368" s="262"/>
      <c r="AT368" s="262"/>
      <c r="AU368" s="262"/>
      <c r="AV368" s="262"/>
      <c r="AW368" s="262"/>
      <c r="AX368" s="262"/>
      <c r="AY368" s="262"/>
      <c r="AZ368" s="262"/>
      <c r="BA368" s="262"/>
      <c r="BB368" s="262"/>
      <c r="BC368" s="262"/>
      <c r="BD368" s="262"/>
      <c r="BE368" s="262"/>
      <c r="BF368" s="262"/>
      <c r="BG368" s="262"/>
      <c r="BH368" s="262"/>
      <c r="BI368" s="262"/>
      <c r="BJ368" s="262"/>
      <c r="BK368" s="262"/>
      <c r="BL368" s="262"/>
      <c r="BM368" s="262"/>
      <c r="BN368" s="262"/>
      <c r="BO368" s="262"/>
      <c r="BP368" s="262"/>
      <c r="BQ368" s="262"/>
      <c r="BR368" s="262"/>
      <c r="BS368" s="262"/>
      <c r="BT368" s="262"/>
      <c r="BU368" s="262"/>
      <c r="BV368" s="262"/>
      <c r="BW368" s="262"/>
      <c r="BX368" s="262"/>
      <c r="BY368" s="262"/>
      <c r="BZ368" s="262"/>
      <c r="CA368" s="262"/>
      <c r="CB368" s="262"/>
      <c r="CC368" s="262"/>
      <c r="CD368" s="262"/>
      <c r="CE368" s="262"/>
      <c r="CF368" s="262"/>
      <c r="CG368" s="262"/>
      <c r="CH368" s="262"/>
      <c r="CI368" s="262"/>
      <c r="CJ368" s="262"/>
      <c r="CK368" s="262"/>
      <c r="CL368" s="262"/>
      <c r="CM368" s="262"/>
      <c r="CN368" s="262"/>
      <c r="CO368" s="262"/>
      <c r="CP368" s="262"/>
      <c r="CQ368" s="262"/>
      <c r="CR368" s="262"/>
      <c r="CS368" s="262"/>
      <c r="CT368" s="262"/>
      <c r="CU368" s="262"/>
      <c r="CV368" s="262"/>
      <c r="CW368" s="262"/>
      <c r="CX368" s="262"/>
      <c r="CY368" s="262"/>
      <c r="CZ368" s="262"/>
      <c r="DA368" s="262"/>
      <c r="DB368" s="262"/>
      <c r="DC368" s="262"/>
      <c r="DD368" s="262"/>
      <c r="DE368" s="262"/>
      <c r="DF368" s="262"/>
      <c r="DG368" s="262"/>
      <c r="DH368" s="262"/>
      <c r="DI368" s="262"/>
      <c r="DJ368" s="262"/>
      <c r="DK368" s="262"/>
      <c r="DL368" s="262"/>
      <c r="DM368" s="262"/>
      <c r="DN368" s="262"/>
      <c r="DO368" s="262"/>
      <c r="DP368" s="262"/>
      <c r="DQ368" s="262"/>
      <c r="DR368" s="262"/>
      <c r="DS368" s="262"/>
      <c r="DT368" s="262"/>
      <c r="DU368" s="262"/>
      <c r="DV368" s="262"/>
      <c r="DW368" s="262"/>
      <c r="DX368" s="262"/>
      <c r="DY368" s="262"/>
      <c r="DZ368" s="262"/>
      <c r="EA368" s="262"/>
      <c r="EB368" s="262"/>
      <c r="EC368" s="262"/>
      <c r="ED368" s="262"/>
      <c r="EE368" s="262"/>
      <c r="EF368" s="262"/>
      <c r="EG368" s="262"/>
      <c r="EH368" s="262"/>
      <c r="EI368" s="262"/>
      <c r="EJ368" s="262"/>
      <c r="EK368" s="262"/>
      <c r="EL368" s="262"/>
      <c r="EM368" s="262"/>
      <c r="EN368" s="262"/>
      <c r="EO368" s="262"/>
      <c r="EP368" s="262"/>
      <c r="EQ368" s="262"/>
      <c r="ER368" s="262"/>
      <c r="ES368" s="262"/>
      <c r="ET368" s="262"/>
      <c r="EU368" s="262"/>
      <c r="EV368" s="262"/>
      <c r="EW368" s="262"/>
      <c r="EX368" s="262"/>
      <c r="EY368" s="262"/>
      <c r="EZ368" s="262"/>
      <c r="FA368" s="262"/>
      <c r="FB368" s="262"/>
      <c r="FC368" s="262"/>
      <c r="FD368" s="262"/>
      <c r="FE368" s="262"/>
      <c r="FF368" s="262"/>
      <c r="FG368" s="262"/>
      <c r="FH368" s="262"/>
      <c r="FI368" s="262"/>
      <c r="FJ368" s="262"/>
      <c r="FK368" s="262"/>
      <c r="FL368" s="262"/>
      <c r="FM368" s="262"/>
      <c r="FN368" s="262"/>
      <c r="FO368" s="262"/>
      <c r="FP368" s="262"/>
      <c r="FQ368" s="262"/>
      <c r="FR368" s="262"/>
      <c r="FS368" s="262"/>
      <c r="FT368" s="262"/>
      <c r="FU368" s="262"/>
      <c r="FV368" s="262"/>
      <c r="FW368" s="262"/>
      <c r="FX368" s="262"/>
      <c r="FY368" s="262"/>
      <c r="FZ368" s="262"/>
      <c r="GA368" s="262"/>
      <c r="GB368" s="262"/>
      <c r="GC368" s="262"/>
      <c r="GD368" s="262"/>
      <c r="GE368" s="262"/>
      <c r="GF368" s="262"/>
      <c r="GG368" s="262"/>
      <c r="GH368" s="262"/>
      <c r="GI368" s="262"/>
      <c r="GJ368" s="262"/>
      <c r="GK368" s="262"/>
      <c r="GL368" s="262"/>
      <c r="GM368" s="262"/>
      <c r="GN368" s="262"/>
      <c r="GO368" s="262"/>
      <c r="GP368" s="262"/>
      <c r="GQ368" s="262"/>
      <c r="GR368" s="262"/>
      <c r="GS368" s="262"/>
      <c r="GT368" s="262"/>
      <c r="GU368" s="262"/>
      <c r="GV368" s="262"/>
      <c r="GW368" s="262"/>
      <c r="GX368" s="262"/>
      <c r="GY368" s="262"/>
      <c r="GZ368" s="262"/>
      <c r="HA368" s="262"/>
      <c r="HB368" s="262"/>
      <c r="HC368" s="262"/>
      <c r="HD368" s="262"/>
      <c r="HE368" s="262"/>
      <c r="HF368" s="262"/>
      <c r="HG368" s="262"/>
      <c r="HH368" s="262"/>
      <c r="HI368" s="262"/>
      <c r="HJ368" s="262"/>
      <c r="HK368" s="262"/>
      <c r="HL368" s="262"/>
      <c r="HM368" s="262"/>
      <c r="HN368" s="262"/>
      <c r="HO368" s="262"/>
      <c r="HP368" s="265"/>
      <c r="HQ368" s="265"/>
      <c r="HR368" s="265"/>
      <c r="HS368" s="265"/>
      <c r="HT368" s="265"/>
      <c r="HU368" s="265"/>
      <c r="HV368" s="265"/>
      <c r="HW368" s="265"/>
      <c r="HX368" s="265"/>
      <c r="HY368" s="265"/>
      <c r="HZ368" s="265"/>
      <c r="IA368" s="265"/>
      <c r="IB368" s="265"/>
      <c r="IC368" s="265"/>
      <c r="ID368" s="265"/>
      <c r="IE368" s="265"/>
      <c r="IF368" s="265"/>
      <c r="IG368" s="265"/>
      <c r="IH368" s="265"/>
      <c r="II368" s="265"/>
      <c r="IJ368" s="265"/>
      <c r="IK368" s="265"/>
      <c r="IL368" s="265"/>
      <c r="IM368" s="265"/>
      <c r="IN368" s="265"/>
      <c r="IO368" s="265"/>
      <c r="IP368" s="265"/>
      <c r="IQ368" s="265"/>
      <c r="IR368" s="265"/>
    </row>
    <row r="369" spans="1:27" s="207" customFormat="1" ht="24" customHeight="1">
      <c r="A369" s="234" t="s">
        <v>649</v>
      </c>
      <c r="B369" s="235">
        <f aca="true" t="shared" si="114" ref="B369:G369">SUM(B370)</f>
        <v>0</v>
      </c>
      <c r="C369" s="235">
        <f t="shared" si="114"/>
        <v>0</v>
      </c>
      <c r="D369" s="235">
        <f t="shared" si="114"/>
        <v>0</v>
      </c>
      <c r="E369" s="235">
        <f t="shared" si="114"/>
        <v>0</v>
      </c>
      <c r="F369" s="235">
        <f t="shared" si="114"/>
        <v>0</v>
      </c>
      <c r="G369" s="235">
        <f t="shared" si="114"/>
        <v>0</v>
      </c>
      <c r="H369" s="231" t="e">
        <f t="shared" si="101"/>
        <v>#DIV/0!</v>
      </c>
      <c r="I369" s="249"/>
      <c r="J369" s="250"/>
      <c r="O369" s="251"/>
      <c r="P369" s="252"/>
      <c r="AA369" s="254">
        <f t="shared" si="109"/>
        <v>0</v>
      </c>
    </row>
    <row r="370" spans="1:27" s="207" customFormat="1" ht="24" customHeight="1">
      <c r="A370" s="234" t="s">
        <v>650</v>
      </c>
      <c r="B370" s="235"/>
      <c r="C370" s="235"/>
      <c r="D370" s="235"/>
      <c r="E370" s="235"/>
      <c r="F370" s="235"/>
      <c r="G370" s="235"/>
      <c r="H370" s="231" t="e">
        <f t="shared" si="101"/>
        <v>#DIV/0!</v>
      </c>
      <c r="I370" s="255"/>
      <c r="O370" s="251"/>
      <c r="P370" s="252"/>
      <c r="AA370" s="254">
        <f t="shared" si="109"/>
        <v>0</v>
      </c>
    </row>
    <row r="371" spans="1:27" s="207" customFormat="1" ht="32.25" customHeight="1">
      <c r="A371" s="234" t="s">
        <v>651</v>
      </c>
      <c r="B371" s="235">
        <f aca="true" t="shared" si="115" ref="B371:G371">SUM(B372:B373)</f>
        <v>120</v>
      </c>
      <c r="C371" s="235">
        <f t="shared" si="115"/>
        <v>120</v>
      </c>
      <c r="D371" s="235">
        <f t="shared" si="115"/>
        <v>0</v>
      </c>
      <c r="E371" s="235">
        <f t="shared" si="115"/>
        <v>108</v>
      </c>
      <c r="F371" s="235">
        <f t="shared" si="115"/>
        <v>108</v>
      </c>
      <c r="G371" s="235">
        <f t="shared" si="115"/>
        <v>0</v>
      </c>
      <c r="H371" s="231">
        <f t="shared" si="101"/>
        <v>0.9</v>
      </c>
      <c r="I371" s="255"/>
      <c r="O371" s="251"/>
      <c r="P371" s="252"/>
      <c r="Q371" s="268"/>
      <c r="R371" s="268"/>
      <c r="AA371" s="254">
        <f t="shared" si="109"/>
        <v>0</v>
      </c>
    </row>
    <row r="372" spans="1:27" s="207" customFormat="1" ht="24" customHeight="1">
      <c r="A372" s="234" t="s">
        <v>652</v>
      </c>
      <c r="B372" s="235">
        <v>120</v>
      </c>
      <c r="C372" s="235">
        <v>120</v>
      </c>
      <c r="D372" s="235"/>
      <c r="E372" s="235">
        <v>108</v>
      </c>
      <c r="F372" s="235">
        <v>108</v>
      </c>
      <c r="G372" s="235"/>
      <c r="H372" s="231">
        <f t="shared" si="101"/>
        <v>0.9</v>
      </c>
      <c r="I372" s="255" t="s">
        <v>653</v>
      </c>
      <c r="O372" s="251"/>
      <c r="P372" s="252"/>
      <c r="AA372" s="254">
        <f t="shared" si="109"/>
        <v>0</v>
      </c>
    </row>
    <row r="373" spans="1:27" s="207" customFormat="1" ht="24" customHeight="1">
      <c r="A373" s="234" t="s">
        <v>654</v>
      </c>
      <c r="B373" s="235"/>
      <c r="C373" s="235"/>
      <c r="D373" s="235"/>
      <c r="E373" s="235"/>
      <c r="F373" s="235"/>
      <c r="G373" s="235"/>
      <c r="H373" s="231" t="e">
        <f t="shared" si="101"/>
        <v>#DIV/0!</v>
      </c>
      <c r="I373" s="255"/>
      <c r="O373" s="251"/>
      <c r="P373" s="252"/>
      <c r="Q373" s="206"/>
      <c r="R373" s="206"/>
      <c r="AA373" s="254">
        <f t="shared" si="109"/>
        <v>0</v>
      </c>
    </row>
    <row r="374" spans="1:27" s="207" customFormat="1" ht="24" customHeight="1">
      <c r="A374" s="234" t="s">
        <v>655</v>
      </c>
      <c r="B374" s="235">
        <f>SUM(B375)</f>
        <v>0</v>
      </c>
      <c r="C374" s="235">
        <f>SUM(C375)</f>
        <v>0</v>
      </c>
      <c r="D374" s="235">
        <f>SUM(D375)</f>
        <v>704</v>
      </c>
      <c r="E374" s="235">
        <f>SUM(E375)</f>
        <v>0</v>
      </c>
      <c r="F374" s="235">
        <f>SUM(F375)</f>
        <v>0</v>
      </c>
      <c r="G374" s="235"/>
      <c r="H374" s="231" t="e">
        <f t="shared" si="101"/>
        <v>#DIV/0!</v>
      </c>
      <c r="I374" s="255"/>
      <c r="O374" s="251"/>
      <c r="AA374" s="254">
        <f t="shared" si="109"/>
        <v>0</v>
      </c>
    </row>
    <row r="375" spans="1:27" s="207" customFormat="1" ht="31.5" customHeight="1">
      <c r="A375" s="234" t="s">
        <v>656</v>
      </c>
      <c r="B375" s="235"/>
      <c r="C375" s="235"/>
      <c r="D375" s="235">
        <v>704</v>
      </c>
      <c r="E375" s="235"/>
      <c r="F375" s="235"/>
      <c r="G375" s="235"/>
      <c r="H375" s="231" t="e">
        <f t="shared" si="101"/>
        <v>#DIV/0!</v>
      </c>
      <c r="I375" s="255"/>
      <c r="O375" s="251"/>
      <c r="AA375" s="254">
        <f t="shared" si="109"/>
        <v>0</v>
      </c>
    </row>
    <row r="376" spans="1:27" s="207" customFormat="1" ht="24" customHeight="1">
      <c r="A376" s="234" t="s">
        <v>657</v>
      </c>
      <c r="B376" s="235"/>
      <c r="C376" s="235"/>
      <c r="D376" s="235"/>
      <c r="E376" s="235"/>
      <c r="F376" s="235"/>
      <c r="G376" s="235"/>
      <c r="H376" s="231"/>
      <c r="I376" s="255"/>
      <c r="O376" s="251"/>
      <c r="AA376" s="254">
        <f t="shared" si="109"/>
        <v>0</v>
      </c>
    </row>
    <row r="377" spans="1:27" s="207" customFormat="1" ht="30" customHeight="1">
      <c r="A377" s="234" t="s">
        <v>658</v>
      </c>
      <c r="B377" s="235"/>
      <c r="C377" s="235"/>
      <c r="D377" s="235"/>
      <c r="E377" s="235"/>
      <c r="F377" s="235"/>
      <c r="G377" s="235"/>
      <c r="H377" s="231"/>
      <c r="I377" s="255"/>
      <c r="O377" s="251"/>
      <c r="AA377" s="254">
        <f t="shared" si="109"/>
        <v>0</v>
      </c>
    </row>
    <row r="378" spans="1:27" s="205" customFormat="1" ht="30.75" customHeight="1">
      <c r="A378" s="232" t="s">
        <v>659</v>
      </c>
      <c r="B378" s="233">
        <f aca="true" t="shared" si="116" ref="B378:G378">B379+B383+B385+B388</f>
        <v>150</v>
      </c>
      <c r="C378" s="233">
        <f t="shared" si="116"/>
        <v>150</v>
      </c>
      <c r="D378" s="233">
        <f t="shared" si="116"/>
        <v>0</v>
      </c>
      <c r="E378" s="233">
        <f t="shared" si="116"/>
        <v>106</v>
      </c>
      <c r="F378" s="233">
        <f t="shared" si="116"/>
        <v>106</v>
      </c>
      <c r="G378" s="233">
        <f t="shared" si="116"/>
        <v>0</v>
      </c>
      <c r="H378" s="231">
        <f aca="true" t="shared" si="117" ref="H378:H409">E378/B378</f>
        <v>0.7066666666666667</v>
      </c>
      <c r="I378" s="245"/>
      <c r="J378" s="246"/>
      <c r="O378" s="247"/>
      <c r="P378" s="248"/>
      <c r="AA378" s="263">
        <f t="shared" si="109"/>
        <v>0</v>
      </c>
    </row>
    <row r="379" spans="1:27" s="207" customFormat="1" ht="24" customHeight="1">
      <c r="A379" s="234" t="s">
        <v>660</v>
      </c>
      <c r="B379" s="235">
        <f aca="true" t="shared" si="118" ref="B379:G379">SUM(B380:B382)</f>
        <v>0</v>
      </c>
      <c r="C379" s="235">
        <f t="shared" si="118"/>
        <v>0</v>
      </c>
      <c r="D379" s="235">
        <f t="shared" si="118"/>
        <v>0</v>
      </c>
      <c r="E379" s="235">
        <f t="shared" si="118"/>
        <v>0</v>
      </c>
      <c r="F379" s="235">
        <f t="shared" si="118"/>
        <v>0</v>
      </c>
      <c r="G379" s="235">
        <f t="shared" si="118"/>
        <v>0</v>
      </c>
      <c r="H379" s="231" t="e">
        <f t="shared" si="117"/>
        <v>#DIV/0!</v>
      </c>
      <c r="I379" s="249"/>
      <c r="J379" s="250"/>
      <c r="O379" s="251"/>
      <c r="P379" s="252"/>
      <c r="AA379" s="254">
        <f t="shared" si="109"/>
        <v>0</v>
      </c>
    </row>
    <row r="380" spans="1:27" s="207" customFormat="1" ht="24" customHeight="1">
      <c r="A380" s="234" t="s">
        <v>661</v>
      </c>
      <c r="B380" s="235"/>
      <c r="C380" s="235"/>
      <c r="D380" s="235"/>
      <c r="E380" s="235"/>
      <c r="F380" s="235"/>
      <c r="G380" s="235"/>
      <c r="H380" s="231" t="e">
        <f t="shared" si="117"/>
        <v>#DIV/0!</v>
      </c>
      <c r="I380" s="255"/>
      <c r="O380" s="251"/>
      <c r="P380" s="252"/>
      <c r="AA380" s="254">
        <f t="shared" si="109"/>
        <v>0</v>
      </c>
    </row>
    <row r="381" spans="1:27" s="207" customFormat="1" ht="27.75" customHeight="1">
      <c r="A381" s="234" t="s">
        <v>662</v>
      </c>
      <c r="B381" s="235"/>
      <c r="C381" s="235"/>
      <c r="D381" s="235"/>
      <c r="E381" s="235"/>
      <c r="F381" s="235"/>
      <c r="G381" s="235"/>
      <c r="H381" s="231" t="e">
        <f t="shared" si="117"/>
        <v>#DIV/0!</v>
      </c>
      <c r="I381" s="255"/>
      <c r="O381" s="251"/>
      <c r="P381" s="252"/>
      <c r="AA381" s="254">
        <f t="shared" si="109"/>
        <v>0</v>
      </c>
    </row>
    <row r="382" spans="1:27" s="207" customFormat="1" ht="24" customHeight="1">
      <c r="A382" s="234" t="s">
        <v>663</v>
      </c>
      <c r="B382" s="235"/>
      <c r="C382" s="235"/>
      <c r="D382" s="235"/>
      <c r="E382" s="235"/>
      <c r="F382" s="235"/>
      <c r="G382" s="235"/>
      <c r="H382" s="231" t="e">
        <f t="shared" si="117"/>
        <v>#DIV/0!</v>
      </c>
      <c r="I382" s="255"/>
      <c r="O382" s="251"/>
      <c r="P382" s="252"/>
      <c r="AA382" s="254">
        <f t="shared" si="109"/>
        <v>0</v>
      </c>
    </row>
    <row r="383" spans="1:27" s="207" customFormat="1" ht="24" customHeight="1">
      <c r="A383" s="234" t="s">
        <v>664</v>
      </c>
      <c r="B383" s="235">
        <f aca="true" t="shared" si="119" ref="B383:G383">SUM(B384)</f>
        <v>77</v>
      </c>
      <c r="C383" s="235">
        <f t="shared" si="119"/>
        <v>77</v>
      </c>
      <c r="D383" s="235">
        <f t="shared" si="119"/>
        <v>0</v>
      </c>
      <c r="E383" s="235">
        <f t="shared" si="119"/>
        <v>65</v>
      </c>
      <c r="F383" s="235">
        <f t="shared" si="119"/>
        <v>65</v>
      </c>
      <c r="G383" s="235">
        <f t="shared" si="119"/>
        <v>0</v>
      </c>
      <c r="H383" s="231">
        <f t="shared" si="117"/>
        <v>0.8441558441558441</v>
      </c>
      <c r="I383" s="249"/>
      <c r="J383" s="250"/>
      <c r="O383" s="251"/>
      <c r="P383" s="252"/>
      <c r="AA383" s="254">
        <f t="shared" si="109"/>
        <v>0</v>
      </c>
    </row>
    <row r="384" spans="1:27" s="207" customFormat="1" ht="24" customHeight="1">
      <c r="A384" s="234" t="s">
        <v>665</v>
      </c>
      <c r="B384" s="235">
        <v>77</v>
      </c>
      <c r="C384" s="235">
        <f>72+5</f>
        <v>77</v>
      </c>
      <c r="D384" s="235"/>
      <c r="E384" s="235">
        <v>65</v>
      </c>
      <c r="F384" s="235">
        <f>61+4</f>
        <v>65</v>
      </c>
      <c r="G384" s="235"/>
      <c r="H384" s="231">
        <f t="shared" si="117"/>
        <v>0.8441558441558441</v>
      </c>
      <c r="I384" s="255"/>
      <c r="O384" s="251"/>
      <c r="P384" s="252"/>
      <c r="AA384" s="254">
        <f t="shared" si="109"/>
        <v>0</v>
      </c>
    </row>
    <row r="385" spans="1:27" s="207" customFormat="1" ht="24" customHeight="1">
      <c r="A385" s="234" t="s">
        <v>666</v>
      </c>
      <c r="B385" s="235">
        <f aca="true" t="shared" si="120" ref="B385:G385">SUM(B386:B387)</f>
        <v>0</v>
      </c>
      <c r="C385" s="235">
        <f t="shared" si="120"/>
        <v>0</v>
      </c>
      <c r="D385" s="235">
        <f t="shared" si="120"/>
        <v>0</v>
      </c>
      <c r="E385" s="235">
        <f t="shared" si="120"/>
        <v>0</v>
      </c>
      <c r="F385" s="235">
        <f t="shared" si="120"/>
        <v>0</v>
      </c>
      <c r="G385" s="235">
        <f t="shared" si="120"/>
        <v>0</v>
      </c>
      <c r="H385" s="231" t="e">
        <f t="shared" si="117"/>
        <v>#DIV/0!</v>
      </c>
      <c r="I385" s="249"/>
      <c r="J385" s="250"/>
      <c r="O385" s="251"/>
      <c r="P385" s="252"/>
      <c r="AA385" s="254">
        <f t="shared" si="109"/>
        <v>0</v>
      </c>
    </row>
    <row r="386" spans="1:27" s="207" customFormat="1" ht="24" customHeight="1">
      <c r="A386" s="234" t="s">
        <v>667</v>
      </c>
      <c r="B386" s="235"/>
      <c r="C386" s="235"/>
      <c r="D386" s="235"/>
      <c r="E386" s="235"/>
      <c r="F386" s="235"/>
      <c r="G386" s="235"/>
      <c r="H386" s="231" t="e">
        <f t="shared" si="117"/>
        <v>#DIV/0!</v>
      </c>
      <c r="I386" s="255"/>
      <c r="O386" s="251"/>
      <c r="P386" s="252"/>
      <c r="AA386" s="254">
        <f t="shared" si="109"/>
        <v>0</v>
      </c>
    </row>
    <row r="387" spans="1:27" s="207" customFormat="1" ht="24" customHeight="1">
      <c r="A387" s="234" t="s">
        <v>668</v>
      </c>
      <c r="B387" s="235"/>
      <c r="C387" s="235"/>
      <c r="D387" s="235"/>
      <c r="E387" s="235"/>
      <c r="F387" s="235"/>
      <c r="G387" s="235"/>
      <c r="H387" s="231" t="e">
        <f t="shared" si="117"/>
        <v>#DIV/0!</v>
      </c>
      <c r="I387" s="255"/>
      <c r="O387" s="251"/>
      <c r="P387" s="252"/>
      <c r="AA387" s="254">
        <f t="shared" si="109"/>
        <v>0</v>
      </c>
    </row>
    <row r="388" spans="1:27" s="207" customFormat="1" ht="28.5" customHeight="1">
      <c r="A388" s="234" t="s">
        <v>669</v>
      </c>
      <c r="B388" s="235">
        <f aca="true" t="shared" si="121" ref="B388:G388">SUM(B389:B391)</f>
        <v>73</v>
      </c>
      <c r="C388" s="235">
        <f t="shared" si="121"/>
        <v>73</v>
      </c>
      <c r="D388" s="235">
        <f t="shared" si="121"/>
        <v>0</v>
      </c>
      <c r="E388" s="235">
        <f t="shared" si="121"/>
        <v>41</v>
      </c>
      <c r="F388" s="235">
        <f t="shared" si="121"/>
        <v>41</v>
      </c>
      <c r="G388" s="235">
        <f t="shared" si="121"/>
        <v>0</v>
      </c>
      <c r="H388" s="231">
        <f t="shared" si="117"/>
        <v>0.5616438356164384</v>
      </c>
      <c r="I388" s="249"/>
      <c r="J388" s="250"/>
      <c r="O388" s="251"/>
      <c r="P388" s="252"/>
      <c r="AA388" s="254">
        <f t="shared" si="109"/>
        <v>0</v>
      </c>
    </row>
    <row r="389" spans="1:27" s="207" customFormat="1" ht="28.5" customHeight="1">
      <c r="A389" s="234" t="s">
        <v>670</v>
      </c>
      <c r="B389" s="235">
        <v>73</v>
      </c>
      <c r="C389" s="235">
        <f>69+4</f>
        <v>73</v>
      </c>
      <c r="D389" s="235"/>
      <c r="E389" s="235">
        <v>41</v>
      </c>
      <c r="F389" s="235">
        <f>38+3</f>
        <v>41</v>
      </c>
      <c r="G389" s="235"/>
      <c r="H389" s="231">
        <f t="shared" si="117"/>
        <v>0.5616438356164384</v>
      </c>
      <c r="I389" s="255"/>
      <c r="O389" s="251"/>
      <c r="P389" s="252"/>
      <c r="AA389" s="254">
        <f t="shared" si="109"/>
        <v>0</v>
      </c>
    </row>
    <row r="390" spans="1:27" s="207" customFormat="1" ht="28.5" customHeight="1">
      <c r="A390" s="234" t="s">
        <v>671</v>
      </c>
      <c r="B390" s="235"/>
      <c r="C390" s="235"/>
      <c r="D390" s="235"/>
      <c r="E390" s="235"/>
      <c r="F390" s="235"/>
      <c r="G390" s="235"/>
      <c r="H390" s="231" t="e">
        <f t="shared" si="117"/>
        <v>#DIV/0!</v>
      </c>
      <c r="I390" s="255"/>
      <c r="O390" s="251"/>
      <c r="P390" s="252"/>
      <c r="AA390" s="254">
        <f t="shared" si="109"/>
        <v>0</v>
      </c>
    </row>
    <row r="391" spans="1:27" s="207" customFormat="1" ht="24" customHeight="1">
      <c r="A391" s="234" t="s">
        <v>672</v>
      </c>
      <c r="B391" s="235"/>
      <c r="C391" s="235"/>
      <c r="D391" s="235"/>
      <c r="E391" s="235"/>
      <c r="F391" s="235"/>
      <c r="G391" s="235"/>
      <c r="H391" s="231" t="e">
        <f t="shared" si="117"/>
        <v>#DIV/0!</v>
      </c>
      <c r="I391" s="255"/>
      <c r="O391" s="251"/>
      <c r="P391" s="252"/>
      <c r="AA391" s="254">
        <f t="shared" si="109"/>
        <v>0</v>
      </c>
    </row>
    <row r="392" spans="1:27" s="207" customFormat="1" ht="32.25" customHeight="1">
      <c r="A392" s="234" t="s">
        <v>673</v>
      </c>
      <c r="B392" s="235">
        <v>32</v>
      </c>
      <c r="C392" s="235">
        <v>32</v>
      </c>
      <c r="D392" s="235"/>
      <c r="E392" s="235">
        <v>36</v>
      </c>
      <c r="F392" s="235">
        <v>36</v>
      </c>
      <c r="G392" s="235"/>
      <c r="H392" s="231">
        <f t="shared" si="117"/>
        <v>1.125</v>
      </c>
      <c r="I392" s="255"/>
      <c r="O392" s="251"/>
      <c r="P392" s="252"/>
      <c r="AA392" s="254"/>
    </row>
    <row r="393" spans="1:27" s="205" customFormat="1" ht="24" customHeight="1">
      <c r="A393" s="232" t="s">
        <v>674</v>
      </c>
      <c r="B393" s="233">
        <f aca="true" t="shared" si="122" ref="B393:G393">B394+B397</f>
        <v>278</v>
      </c>
      <c r="C393" s="233">
        <f t="shared" si="122"/>
        <v>278</v>
      </c>
      <c r="D393" s="233">
        <f t="shared" si="122"/>
        <v>0</v>
      </c>
      <c r="E393" s="233">
        <f t="shared" si="122"/>
        <v>224</v>
      </c>
      <c r="F393" s="233">
        <f t="shared" si="122"/>
        <v>224</v>
      </c>
      <c r="G393" s="233">
        <f t="shared" si="122"/>
        <v>150</v>
      </c>
      <c r="H393" s="231">
        <f t="shared" si="117"/>
        <v>0.8057553956834532</v>
      </c>
      <c r="I393" s="277"/>
      <c r="J393" s="246"/>
      <c r="O393" s="247"/>
      <c r="P393" s="248"/>
      <c r="AA393" s="263">
        <f aca="true" t="shared" si="123" ref="AA393:AA407">F393-E393</f>
        <v>0</v>
      </c>
    </row>
    <row r="394" spans="1:27" s="207" customFormat="1" ht="24" customHeight="1">
      <c r="A394" s="234" t="s">
        <v>675</v>
      </c>
      <c r="B394" s="235">
        <f aca="true" t="shared" si="124" ref="B394:G394">SUM(B395:B396)</f>
        <v>278</v>
      </c>
      <c r="C394" s="235">
        <f t="shared" si="124"/>
        <v>278</v>
      </c>
      <c r="D394" s="235">
        <f t="shared" si="124"/>
        <v>0</v>
      </c>
      <c r="E394" s="235">
        <f t="shared" si="124"/>
        <v>224</v>
      </c>
      <c r="F394" s="235">
        <f t="shared" si="124"/>
        <v>224</v>
      </c>
      <c r="G394" s="235">
        <f t="shared" si="124"/>
        <v>150</v>
      </c>
      <c r="H394" s="231">
        <f t="shared" si="117"/>
        <v>0.8057553956834532</v>
      </c>
      <c r="I394" s="249"/>
      <c r="J394" s="250"/>
      <c r="O394" s="251"/>
      <c r="P394" s="252"/>
      <c r="AA394" s="254">
        <f t="shared" si="123"/>
        <v>0</v>
      </c>
    </row>
    <row r="395" spans="1:27" s="207" customFormat="1" ht="24" customHeight="1">
      <c r="A395" s="234" t="s">
        <v>676</v>
      </c>
      <c r="B395" s="235">
        <v>278</v>
      </c>
      <c r="C395" s="235">
        <v>278</v>
      </c>
      <c r="D395" s="235"/>
      <c r="E395" s="235">
        <v>224</v>
      </c>
      <c r="F395" s="235">
        <f>65+4+138+17</f>
        <v>224</v>
      </c>
      <c r="G395" s="235"/>
      <c r="H395" s="231">
        <f t="shared" si="117"/>
        <v>0.8057553956834532</v>
      </c>
      <c r="I395" s="255"/>
      <c r="O395" s="251"/>
      <c r="P395" s="252"/>
      <c r="AA395" s="254">
        <f t="shared" si="123"/>
        <v>0</v>
      </c>
    </row>
    <row r="396" spans="1:27" s="207" customFormat="1" ht="24" customHeight="1">
      <c r="A396" s="234" t="s">
        <v>677</v>
      </c>
      <c r="B396" s="235"/>
      <c r="C396" s="235"/>
      <c r="D396" s="235"/>
      <c r="E396" s="235"/>
      <c r="F396" s="235"/>
      <c r="G396" s="235">
        <v>150</v>
      </c>
      <c r="H396" s="231" t="e">
        <f t="shared" si="117"/>
        <v>#DIV/0!</v>
      </c>
      <c r="I396" s="255"/>
      <c r="O396" s="251"/>
      <c r="P396" s="252"/>
      <c r="AA396" s="254">
        <f t="shared" si="123"/>
        <v>0</v>
      </c>
    </row>
    <row r="397" spans="1:27" s="207" customFormat="1" ht="24" customHeight="1">
      <c r="A397" s="234" t="s">
        <v>678</v>
      </c>
      <c r="B397" s="235">
        <f aca="true" t="shared" si="125" ref="B397:G397">SUM(B398)</f>
        <v>0</v>
      </c>
      <c r="C397" s="235">
        <f t="shared" si="125"/>
        <v>0</v>
      </c>
      <c r="D397" s="235">
        <f t="shared" si="125"/>
        <v>0</v>
      </c>
      <c r="E397" s="235">
        <f t="shared" si="125"/>
        <v>0</v>
      </c>
      <c r="F397" s="235">
        <f t="shared" si="125"/>
        <v>0</v>
      </c>
      <c r="G397" s="235">
        <f t="shared" si="125"/>
        <v>0</v>
      </c>
      <c r="H397" s="231" t="e">
        <f t="shared" si="117"/>
        <v>#DIV/0!</v>
      </c>
      <c r="I397" s="255"/>
      <c r="O397" s="251"/>
      <c r="P397" s="252"/>
      <c r="AA397" s="254">
        <f t="shared" si="123"/>
        <v>0</v>
      </c>
    </row>
    <row r="398" spans="1:27" s="207" customFormat="1" ht="24" customHeight="1">
      <c r="A398" s="234" t="s">
        <v>679</v>
      </c>
      <c r="B398" s="235"/>
      <c r="C398" s="235"/>
      <c r="D398" s="235"/>
      <c r="E398" s="235"/>
      <c r="F398" s="235"/>
      <c r="G398" s="235"/>
      <c r="H398" s="231" t="e">
        <f t="shared" si="117"/>
        <v>#DIV/0!</v>
      </c>
      <c r="I398" s="255"/>
      <c r="O398" s="251"/>
      <c r="P398" s="252"/>
      <c r="AA398" s="254">
        <f t="shared" si="123"/>
        <v>0</v>
      </c>
    </row>
    <row r="399" spans="1:27" s="205" customFormat="1" ht="24" customHeight="1">
      <c r="A399" s="232" t="s">
        <v>53</v>
      </c>
      <c r="B399" s="233">
        <f aca="true" t="shared" si="126" ref="B399:G399">B400+B402</f>
        <v>0</v>
      </c>
      <c r="C399" s="233">
        <f t="shared" si="126"/>
        <v>0</v>
      </c>
      <c r="D399" s="233">
        <f t="shared" si="126"/>
        <v>0</v>
      </c>
      <c r="E399" s="233">
        <f t="shared" si="126"/>
        <v>0</v>
      </c>
      <c r="F399" s="233">
        <f t="shared" si="126"/>
        <v>0</v>
      </c>
      <c r="G399" s="233">
        <f t="shared" si="126"/>
        <v>0</v>
      </c>
      <c r="H399" s="231" t="e">
        <f t="shared" si="117"/>
        <v>#DIV/0!</v>
      </c>
      <c r="I399" s="245"/>
      <c r="J399" s="246"/>
      <c r="O399" s="247"/>
      <c r="P399" s="248"/>
      <c r="AA399" s="263">
        <f t="shared" si="123"/>
        <v>0</v>
      </c>
    </row>
    <row r="400" spans="1:27" s="207" customFormat="1" ht="24" customHeight="1">
      <c r="A400" s="234" t="s">
        <v>680</v>
      </c>
      <c r="B400" s="235">
        <f aca="true" t="shared" si="127" ref="B400:G400">SUM(B401)</f>
        <v>0</v>
      </c>
      <c r="C400" s="235">
        <f t="shared" si="127"/>
        <v>0</v>
      </c>
      <c r="D400" s="235">
        <f t="shared" si="127"/>
        <v>0</v>
      </c>
      <c r="E400" s="235">
        <f t="shared" si="127"/>
        <v>0</v>
      </c>
      <c r="F400" s="235">
        <f t="shared" si="127"/>
        <v>0</v>
      </c>
      <c r="G400" s="235">
        <f t="shared" si="127"/>
        <v>0</v>
      </c>
      <c r="H400" s="231" t="e">
        <f t="shared" si="117"/>
        <v>#DIV/0!</v>
      </c>
      <c r="I400" s="249"/>
      <c r="J400" s="250"/>
      <c r="O400" s="251"/>
      <c r="P400" s="252"/>
      <c r="AA400" s="254">
        <f t="shared" si="123"/>
        <v>0</v>
      </c>
    </row>
    <row r="401" spans="1:27" s="207" customFormat="1" ht="24" customHeight="1">
      <c r="A401" s="234" t="s">
        <v>287</v>
      </c>
      <c r="B401" s="235"/>
      <c r="C401" s="235"/>
      <c r="D401" s="235"/>
      <c r="E401" s="235"/>
      <c r="F401" s="235"/>
      <c r="G401" s="235"/>
      <c r="H401" s="231" t="e">
        <f t="shared" si="117"/>
        <v>#DIV/0!</v>
      </c>
      <c r="I401" s="249"/>
      <c r="J401" s="250"/>
      <c r="O401" s="251"/>
      <c r="P401" s="252"/>
      <c r="AA401" s="254">
        <f t="shared" si="123"/>
        <v>0</v>
      </c>
    </row>
    <row r="402" spans="1:27" s="207" customFormat="1" ht="24" customHeight="1">
      <c r="A402" s="234" t="s">
        <v>681</v>
      </c>
      <c r="B402" s="235">
        <f aca="true" t="shared" si="128" ref="B402:G402">SUM(B403)</f>
        <v>0</v>
      </c>
      <c r="C402" s="235">
        <f t="shared" si="128"/>
        <v>0</v>
      </c>
      <c r="D402" s="235">
        <f t="shared" si="128"/>
        <v>0</v>
      </c>
      <c r="E402" s="235">
        <f t="shared" si="128"/>
        <v>0</v>
      </c>
      <c r="F402" s="235">
        <f t="shared" si="128"/>
        <v>0</v>
      </c>
      <c r="G402" s="235">
        <f t="shared" si="128"/>
        <v>0</v>
      </c>
      <c r="H402" s="231" t="e">
        <f t="shared" si="117"/>
        <v>#DIV/0!</v>
      </c>
      <c r="I402" s="249"/>
      <c r="J402" s="250"/>
      <c r="O402" s="251"/>
      <c r="P402" s="252"/>
      <c r="AA402" s="254">
        <f t="shared" si="123"/>
        <v>0</v>
      </c>
    </row>
    <row r="403" spans="1:27" s="207" customFormat="1" ht="24" customHeight="1">
      <c r="A403" s="234" t="s">
        <v>682</v>
      </c>
      <c r="B403" s="235"/>
      <c r="C403" s="235"/>
      <c r="D403" s="235"/>
      <c r="E403" s="235"/>
      <c r="F403" s="235"/>
      <c r="G403" s="235"/>
      <c r="H403" s="231" t="e">
        <f t="shared" si="117"/>
        <v>#DIV/0!</v>
      </c>
      <c r="I403" s="291"/>
      <c r="O403" s="251"/>
      <c r="P403" s="252"/>
      <c r="AA403" s="254">
        <f t="shared" si="123"/>
        <v>0</v>
      </c>
    </row>
    <row r="404" spans="1:27" s="205" customFormat="1" ht="30.75" customHeight="1">
      <c r="A404" s="232" t="s">
        <v>683</v>
      </c>
      <c r="B404" s="233">
        <f aca="true" t="shared" si="129" ref="B404:G404">B405+B409+B412</f>
        <v>755</v>
      </c>
      <c r="C404" s="233">
        <f t="shared" si="129"/>
        <v>755</v>
      </c>
      <c r="D404" s="233">
        <f t="shared" si="129"/>
        <v>604</v>
      </c>
      <c r="E404" s="233">
        <f t="shared" si="129"/>
        <v>651</v>
      </c>
      <c r="F404" s="233">
        <f t="shared" si="129"/>
        <v>651</v>
      </c>
      <c r="G404" s="233">
        <f t="shared" si="129"/>
        <v>0</v>
      </c>
      <c r="H404" s="231">
        <f t="shared" si="117"/>
        <v>0.8622516556291391</v>
      </c>
      <c r="I404" s="245"/>
      <c r="J404" s="246"/>
      <c r="O404" s="247"/>
      <c r="P404" s="248"/>
      <c r="AA404" s="263">
        <f t="shared" si="123"/>
        <v>0</v>
      </c>
    </row>
    <row r="405" spans="1:27" s="207" customFormat="1" ht="24" customHeight="1">
      <c r="A405" s="234" t="s">
        <v>684</v>
      </c>
      <c r="B405" s="235">
        <f aca="true" t="shared" si="130" ref="B405:G405">SUM(B406:B408)</f>
        <v>740</v>
      </c>
      <c r="C405" s="235">
        <f t="shared" si="130"/>
        <v>740</v>
      </c>
      <c r="D405" s="235">
        <f t="shared" si="130"/>
        <v>604</v>
      </c>
      <c r="E405" s="235">
        <f t="shared" si="130"/>
        <v>635</v>
      </c>
      <c r="F405" s="235">
        <f t="shared" si="130"/>
        <v>635</v>
      </c>
      <c r="G405" s="235">
        <f t="shared" si="130"/>
        <v>0</v>
      </c>
      <c r="H405" s="231">
        <f t="shared" si="117"/>
        <v>0.8581081081081081</v>
      </c>
      <c r="I405" s="249"/>
      <c r="J405" s="250"/>
      <c r="O405" s="251"/>
      <c r="P405" s="252"/>
      <c r="AA405" s="254">
        <f t="shared" si="123"/>
        <v>0</v>
      </c>
    </row>
    <row r="406" spans="1:27" s="207" customFormat="1" ht="24" customHeight="1">
      <c r="A406" s="234" t="s">
        <v>685</v>
      </c>
      <c r="B406" s="235">
        <v>689</v>
      </c>
      <c r="C406" s="235">
        <v>689</v>
      </c>
      <c r="D406" s="235"/>
      <c r="E406" s="235">
        <v>575</v>
      </c>
      <c r="F406" s="235">
        <f>561+14</f>
        <v>575</v>
      </c>
      <c r="G406" s="235"/>
      <c r="H406" s="231">
        <f t="shared" si="117"/>
        <v>0.8345428156748912</v>
      </c>
      <c r="I406" s="255"/>
      <c r="O406" s="251"/>
      <c r="P406" s="252"/>
      <c r="AA406" s="254">
        <f t="shared" si="123"/>
        <v>0</v>
      </c>
    </row>
    <row r="407" spans="1:27" s="207" customFormat="1" ht="30" customHeight="1">
      <c r="A407" s="234" t="s">
        <v>686</v>
      </c>
      <c r="B407" s="235"/>
      <c r="C407" s="235"/>
      <c r="D407" s="235">
        <v>604</v>
      </c>
      <c r="E407" s="235"/>
      <c r="F407" s="235"/>
      <c r="G407" s="235"/>
      <c r="H407" s="231" t="e">
        <f t="shared" si="117"/>
        <v>#DIV/0!</v>
      </c>
      <c r="I407" s="255"/>
      <c r="O407" s="251"/>
      <c r="P407" s="252"/>
      <c r="AA407" s="254">
        <f t="shared" si="123"/>
        <v>0</v>
      </c>
    </row>
    <row r="408" spans="1:27" s="207" customFormat="1" ht="24" customHeight="1">
      <c r="A408" s="234" t="s">
        <v>687</v>
      </c>
      <c r="B408" s="235">
        <v>51</v>
      </c>
      <c r="C408" s="235">
        <f>51</f>
        <v>51</v>
      </c>
      <c r="D408" s="235"/>
      <c r="E408" s="235">
        <v>60</v>
      </c>
      <c r="F408" s="235">
        <v>60</v>
      </c>
      <c r="G408" s="235"/>
      <c r="H408" s="231">
        <f t="shared" si="117"/>
        <v>1.1764705882352942</v>
      </c>
      <c r="I408" s="255"/>
      <c r="O408" s="251"/>
      <c r="P408" s="252"/>
      <c r="AA408" s="254">
        <f aca="true" t="shared" si="131" ref="AA408:AA418">F408-E408</f>
        <v>0</v>
      </c>
    </row>
    <row r="409" spans="1:27" s="207" customFormat="1" ht="24" customHeight="1">
      <c r="A409" s="234" t="s">
        <v>688</v>
      </c>
      <c r="B409" s="235">
        <f aca="true" t="shared" si="132" ref="B409:G409">SUM(B410:B411)</f>
        <v>0</v>
      </c>
      <c r="C409" s="235">
        <f t="shared" si="132"/>
        <v>0</v>
      </c>
      <c r="D409" s="235">
        <f t="shared" si="132"/>
        <v>0</v>
      </c>
      <c r="E409" s="235">
        <f t="shared" si="132"/>
        <v>0</v>
      </c>
      <c r="F409" s="235">
        <f t="shared" si="132"/>
        <v>0</v>
      </c>
      <c r="G409" s="235">
        <f t="shared" si="132"/>
        <v>0</v>
      </c>
      <c r="H409" s="231" t="e">
        <f t="shared" si="117"/>
        <v>#DIV/0!</v>
      </c>
      <c r="I409" s="249"/>
      <c r="J409" s="250"/>
      <c r="O409" s="251"/>
      <c r="P409" s="252"/>
      <c r="AA409" s="254">
        <f t="shared" si="131"/>
        <v>0</v>
      </c>
    </row>
    <row r="410" spans="1:27" s="207" customFormat="1" ht="24" customHeight="1">
      <c r="A410" s="234" t="s">
        <v>689</v>
      </c>
      <c r="B410" s="235"/>
      <c r="C410" s="235"/>
      <c r="D410" s="235"/>
      <c r="E410" s="235"/>
      <c r="F410" s="235"/>
      <c r="G410" s="235"/>
      <c r="H410" s="231" t="e">
        <f aca="true" t="shared" si="133" ref="H410:H436">E410/B410</f>
        <v>#DIV/0!</v>
      </c>
      <c r="I410" s="255"/>
      <c r="O410" s="251"/>
      <c r="P410" s="252"/>
      <c r="AA410" s="254">
        <f t="shared" si="131"/>
        <v>0</v>
      </c>
    </row>
    <row r="411" spans="1:27" s="207" customFormat="1" ht="24" customHeight="1">
      <c r="A411" s="234" t="s">
        <v>690</v>
      </c>
      <c r="B411" s="235"/>
      <c r="C411" s="235"/>
      <c r="D411" s="235"/>
      <c r="E411" s="235"/>
      <c r="F411" s="235"/>
      <c r="G411" s="235"/>
      <c r="H411" s="231" t="e">
        <f t="shared" si="133"/>
        <v>#DIV/0!</v>
      </c>
      <c r="I411" s="255"/>
      <c r="O411" s="251"/>
      <c r="P411" s="252"/>
      <c r="AA411" s="254">
        <f t="shared" si="131"/>
        <v>0</v>
      </c>
    </row>
    <row r="412" spans="1:27" s="207" customFormat="1" ht="24" customHeight="1">
      <c r="A412" s="234" t="s">
        <v>691</v>
      </c>
      <c r="B412" s="235">
        <f aca="true" t="shared" si="134" ref="B412:G412">SUM(B413:B414)</f>
        <v>15</v>
      </c>
      <c r="C412" s="235">
        <f t="shared" si="134"/>
        <v>15</v>
      </c>
      <c r="D412" s="235">
        <f t="shared" si="134"/>
        <v>0</v>
      </c>
      <c r="E412" s="235">
        <f t="shared" si="134"/>
        <v>16</v>
      </c>
      <c r="F412" s="235">
        <f t="shared" si="134"/>
        <v>16</v>
      </c>
      <c r="G412" s="235">
        <f t="shared" si="134"/>
        <v>0</v>
      </c>
      <c r="H412" s="231">
        <f t="shared" si="133"/>
        <v>1.0666666666666667</v>
      </c>
      <c r="I412" s="249"/>
      <c r="J412" s="250"/>
      <c r="O412" s="251"/>
      <c r="P412" s="252"/>
      <c r="AA412" s="254">
        <f t="shared" si="131"/>
        <v>0</v>
      </c>
    </row>
    <row r="413" spans="1:27" s="207" customFormat="1" ht="24" customHeight="1">
      <c r="A413" s="234" t="s">
        <v>692</v>
      </c>
      <c r="B413" s="235">
        <v>15</v>
      </c>
      <c r="C413" s="235">
        <f>15</f>
        <v>15</v>
      </c>
      <c r="D413" s="235"/>
      <c r="E413" s="235">
        <v>16</v>
      </c>
      <c r="F413" s="235">
        <v>16</v>
      </c>
      <c r="G413" s="235"/>
      <c r="H413" s="231">
        <f t="shared" si="133"/>
        <v>1.0666666666666667</v>
      </c>
      <c r="I413" s="255"/>
      <c r="O413" s="251"/>
      <c r="P413" s="252"/>
      <c r="AA413" s="254">
        <f t="shared" si="131"/>
        <v>0</v>
      </c>
    </row>
    <row r="414" spans="1:27" s="207" customFormat="1" ht="24" customHeight="1">
      <c r="A414" s="234" t="s">
        <v>693</v>
      </c>
      <c r="B414" s="235"/>
      <c r="C414" s="235"/>
      <c r="D414" s="235"/>
      <c r="E414" s="235"/>
      <c r="F414" s="235"/>
      <c r="G414" s="235"/>
      <c r="H414" s="231" t="e">
        <f t="shared" si="133"/>
        <v>#DIV/0!</v>
      </c>
      <c r="I414" s="291"/>
      <c r="O414" s="251"/>
      <c r="P414" s="252"/>
      <c r="AA414" s="254">
        <f t="shared" si="131"/>
        <v>0</v>
      </c>
    </row>
    <row r="415" spans="1:27" s="205" customFormat="1" ht="24" customHeight="1">
      <c r="A415" s="232" t="s">
        <v>55</v>
      </c>
      <c r="B415" s="233">
        <f aca="true" t="shared" si="135" ref="B415:G415">B416+B420+B422</f>
        <v>2345</v>
      </c>
      <c r="C415" s="233">
        <f t="shared" si="135"/>
        <v>2345</v>
      </c>
      <c r="D415" s="233">
        <f t="shared" si="135"/>
        <v>793</v>
      </c>
      <c r="E415" s="233">
        <f t="shared" si="135"/>
        <v>2376</v>
      </c>
      <c r="F415" s="233">
        <f t="shared" si="135"/>
        <v>2376</v>
      </c>
      <c r="G415" s="233">
        <f t="shared" si="135"/>
        <v>0</v>
      </c>
      <c r="H415" s="231">
        <f t="shared" si="133"/>
        <v>1.013219616204691</v>
      </c>
      <c r="I415" s="245"/>
      <c r="J415" s="246"/>
      <c r="O415" s="247"/>
      <c r="P415" s="248"/>
      <c r="Q415" s="261"/>
      <c r="R415" s="261"/>
      <c r="S415" s="261"/>
      <c r="AA415" s="263">
        <f t="shared" si="131"/>
        <v>0</v>
      </c>
    </row>
    <row r="416" spans="1:27" s="207" customFormat="1" ht="24" customHeight="1">
      <c r="A416" s="234" t="s">
        <v>694</v>
      </c>
      <c r="B416" s="235">
        <f aca="true" t="shared" si="136" ref="B416:G416">SUM(B417:B419)</f>
        <v>0</v>
      </c>
      <c r="C416" s="235">
        <f t="shared" si="136"/>
        <v>0</v>
      </c>
      <c r="D416" s="235">
        <f t="shared" si="136"/>
        <v>793</v>
      </c>
      <c r="E416" s="235">
        <f t="shared" si="136"/>
        <v>0</v>
      </c>
      <c r="F416" s="235">
        <f t="shared" si="136"/>
        <v>0</v>
      </c>
      <c r="G416" s="235">
        <f t="shared" si="136"/>
        <v>0</v>
      </c>
      <c r="H416" s="231" t="e">
        <f t="shared" si="133"/>
        <v>#DIV/0!</v>
      </c>
      <c r="I416" s="255"/>
      <c r="O416" s="251"/>
      <c r="P416" s="252"/>
      <c r="Q416" s="268"/>
      <c r="R416" s="268"/>
      <c r="S416" s="268"/>
      <c r="AA416" s="254">
        <f t="shared" si="131"/>
        <v>0</v>
      </c>
    </row>
    <row r="417" spans="1:27" s="207" customFormat="1" ht="24" customHeight="1">
      <c r="A417" s="234" t="s">
        <v>695</v>
      </c>
      <c r="B417" s="235"/>
      <c r="C417" s="235"/>
      <c r="D417" s="235"/>
      <c r="E417" s="235"/>
      <c r="F417" s="235"/>
      <c r="G417" s="235"/>
      <c r="H417" s="231" t="e">
        <f t="shared" si="133"/>
        <v>#DIV/0!</v>
      </c>
      <c r="I417" s="255"/>
      <c r="O417" s="251"/>
      <c r="P417" s="252"/>
      <c r="AA417" s="254">
        <f t="shared" si="131"/>
        <v>0</v>
      </c>
    </row>
    <row r="418" spans="1:27" s="207" customFormat="1" ht="24" customHeight="1">
      <c r="A418" s="234" t="s">
        <v>696</v>
      </c>
      <c r="B418" s="235"/>
      <c r="C418" s="235"/>
      <c r="D418" s="235">
        <v>82</v>
      </c>
      <c r="E418" s="235"/>
      <c r="F418" s="235"/>
      <c r="G418" s="235"/>
      <c r="H418" s="231" t="e">
        <f t="shared" si="133"/>
        <v>#DIV/0!</v>
      </c>
      <c r="I418" s="255"/>
      <c r="O418" s="251"/>
      <c r="P418" s="252"/>
      <c r="AA418" s="254">
        <f t="shared" si="131"/>
        <v>0</v>
      </c>
    </row>
    <row r="419" spans="1:27" s="207" customFormat="1" ht="24" customHeight="1">
      <c r="A419" s="275" t="s">
        <v>697</v>
      </c>
      <c r="B419" s="235"/>
      <c r="C419" s="235"/>
      <c r="D419" s="235">
        <v>711</v>
      </c>
      <c r="E419" s="235"/>
      <c r="F419" s="235"/>
      <c r="G419" s="235"/>
      <c r="H419" s="231" t="e">
        <f t="shared" si="133"/>
        <v>#DIV/0!</v>
      </c>
      <c r="I419" s="255"/>
      <c r="O419" s="251"/>
      <c r="P419" s="252"/>
      <c r="AA419" s="254"/>
    </row>
    <row r="420" spans="1:27" s="207" customFormat="1" ht="24" customHeight="1">
      <c r="A420" s="234" t="s">
        <v>698</v>
      </c>
      <c r="B420" s="235">
        <f aca="true" t="shared" si="137" ref="B420:G420">SUM(B421)</f>
        <v>2345</v>
      </c>
      <c r="C420" s="235">
        <f t="shared" si="137"/>
        <v>2345</v>
      </c>
      <c r="D420" s="235">
        <f t="shared" si="137"/>
        <v>0</v>
      </c>
      <c r="E420" s="235">
        <f t="shared" si="137"/>
        <v>2376</v>
      </c>
      <c r="F420" s="235">
        <f t="shared" si="137"/>
        <v>2376</v>
      </c>
      <c r="G420" s="235">
        <f t="shared" si="137"/>
        <v>0</v>
      </c>
      <c r="H420" s="231">
        <f t="shared" si="133"/>
        <v>1.013219616204691</v>
      </c>
      <c r="I420" s="249"/>
      <c r="J420" s="250"/>
      <c r="O420" s="251"/>
      <c r="P420" s="252"/>
      <c r="AA420" s="254">
        <f aca="true" t="shared" si="138" ref="AA420:AA436">F420-E420</f>
        <v>0</v>
      </c>
    </row>
    <row r="421" spans="1:27" s="207" customFormat="1" ht="24" customHeight="1">
      <c r="A421" s="234" t="s">
        <v>699</v>
      </c>
      <c r="B421" s="235">
        <v>2345</v>
      </c>
      <c r="C421" s="235">
        <v>2345</v>
      </c>
      <c r="D421" s="235"/>
      <c r="E421" s="235">
        <v>2376</v>
      </c>
      <c r="F421" s="235">
        <v>2376</v>
      </c>
      <c r="G421" s="235"/>
      <c r="H421" s="231">
        <f t="shared" si="133"/>
        <v>1.013219616204691</v>
      </c>
      <c r="I421" s="255" t="s">
        <v>700</v>
      </c>
      <c r="O421" s="251"/>
      <c r="P421" s="252"/>
      <c r="AA421" s="254">
        <f t="shared" si="138"/>
        <v>0</v>
      </c>
    </row>
    <row r="422" spans="1:27" s="207" customFormat="1" ht="24" customHeight="1">
      <c r="A422" s="234" t="s">
        <v>701</v>
      </c>
      <c r="B422" s="235">
        <f aca="true" t="shared" si="139" ref="B422:G422">SUM(B423)</f>
        <v>0</v>
      </c>
      <c r="C422" s="235">
        <f t="shared" si="139"/>
        <v>0</v>
      </c>
      <c r="D422" s="235">
        <f t="shared" si="139"/>
        <v>0</v>
      </c>
      <c r="E422" s="235">
        <f t="shared" si="139"/>
        <v>0</v>
      </c>
      <c r="F422" s="235">
        <f t="shared" si="139"/>
        <v>0</v>
      </c>
      <c r="G422" s="235">
        <f t="shared" si="139"/>
        <v>0</v>
      </c>
      <c r="H422" s="231" t="e">
        <f t="shared" si="133"/>
        <v>#DIV/0!</v>
      </c>
      <c r="I422" s="255"/>
      <c r="O422" s="251"/>
      <c r="P422" s="252"/>
      <c r="AA422" s="254">
        <f t="shared" si="138"/>
        <v>0</v>
      </c>
    </row>
    <row r="423" spans="1:27" s="207" customFormat="1" ht="24" customHeight="1">
      <c r="A423" s="234" t="s">
        <v>702</v>
      </c>
      <c r="B423" s="235"/>
      <c r="C423" s="235"/>
      <c r="D423" s="235"/>
      <c r="E423" s="235"/>
      <c r="F423" s="235"/>
      <c r="G423" s="235"/>
      <c r="H423" s="231" t="e">
        <f t="shared" si="133"/>
        <v>#DIV/0!</v>
      </c>
      <c r="I423" s="255"/>
      <c r="O423" s="251"/>
      <c r="P423" s="252"/>
      <c r="AA423" s="254">
        <f t="shared" si="138"/>
        <v>0</v>
      </c>
    </row>
    <row r="424" spans="1:27" s="205" customFormat="1" ht="24" customHeight="1">
      <c r="A424" s="232" t="s">
        <v>703</v>
      </c>
      <c r="B424" s="233">
        <f aca="true" t="shared" si="140" ref="B424:G424">B425+B427</f>
        <v>261</v>
      </c>
      <c r="C424" s="233">
        <f t="shared" si="140"/>
        <v>261</v>
      </c>
      <c r="D424" s="233">
        <f t="shared" si="140"/>
        <v>0</v>
      </c>
      <c r="E424" s="233">
        <f t="shared" si="140"/>
        <v>166</v>
      </c>
      <c r="F424" s="233">
        <f t="shared" si="140"/>
        <v>166</v>
      </c>
      <c r="G424" s="233">
        <f t="shared" si="140"/>
        <v>0</v>
      </c>
      <c r="H424" s="231">
        <f t="shared" si="133"/>
        <v>0.6360153256704981</v>
      </c>
      <c r="I424" s="245"/>
      <c r="J424" s="246"/>
      <c r="O424" s="247"/>
      <c r="P424" s="248"/>
      <c r="AA424" s="263">
        <f t="shared" si="138"/>
        <v>0</v>
      </c>
    </row>
    <row r="425" spans="1:27" s="207" customFormat="1" ht="24" customHeight="1">
      <c r="A425" s="234" t="s">
        <v>704</v>
      </c>
      <c r="B425" s="235">
        <f aca="true" t="shared" si="141" ref="B425:G425">SUM(B426:B426)</f>
        <v>261</v>
      </c>
      <c r="C425" s="235">
        <f t="shared" si="141"/>
        <v>261</v>
      </c>
      <c r="D425" s="235">
        <f t="shared" si="141"/>
        <v>0</v>
      </c>
      <c r="E425" s="235">
        <f t="shared" si="141"/>
        <v>166</v>
      </c>
      <c r="F425" s="235">
        <f t="shared" si="141"/>
        <v>166</v>
      </c>
      <c r="G425" s="235">
        <f t="shared" si="141"/>
        <v>0</v>
      </c>
      <c r="H425" s="231">
        <f t="shared" si="133"/>
        <v>0.6360153256704981</v>
      </c>
      <c r="I425" s="249"/>
      <c r="J425" s="250"/>
      <c r="O425" s="251"/>
      <c r="P425" s="252"/>
      <c r="AA425" s="254">
        <f t="shared" si="138"/>
        <v>0</v>
      </c>
    </row>
    <row r="426" spans="1:27" s="207" customFormat="1" ht="24" customHeight="1">
      <c r="A426" s="234" t="s">
        <v>705</v>
      </c>
      <c r="B426" s="235">
        <v>261</v>
      </c>
      <c r="C426" s="235">
        <v>261</v>
      </c>
      <c r="D426" s="235"/>
      <c r="E426" s="235">
        <v>166</v>
      </c>
      <c r="F426" s="235">
        <f>160+6</f>
        <v>166</v>
      </c>
      <c r="G426" s="235"/>
      <c r="H426" s="231">
        <f t="shared" si="133"/>
        <v>0.6360153256704981</v>
      </c>
      <c r="I426" s="255"/>
      <c r="O426" s="251"/>
      <c r="P426" s="252"/>
      <c r="AA426" s="254">
        <f t="shared" si="138"/>
        <v>0</v>
      </c>
    </row>
    <row r="427" spans="1:27" s="207" customFormat="1" ht="24" customHeight="1">
      <c r="A427" s="234" t="s">
        <v>706</v>
      </c>
      <c r="B427" s="235">
        <f aca="true" t="shared" si="142" ref="B427:G427">SUM(B428)</f>
        <v>0</v>
      </c>
      <c r="C427" s="235">
        <f t="shared" si="142"/>
        <v>0</v>
      </c>
      <c r="D427" s="235">
        <f t="shared" si="142"/>
        <v>0</v>
      </c>
      <c r="E427" s="235">
        <f t="shared" si="142"/>
        <v>0</v>
      </c>
      <c r="F427" s="235">
        <f t="shared" si="142"/>
        <v>0</v>
      </c>
      <c r="G427" s="235">
        <f t="shared" si="142"/>
        <v>0</v>
      </c>
      <c r="H427" s="231" t="e">
        <f t="shared" si="133"/>
        <v>#DIV/0!</v>
      </c>
      <c r="I427" s="249"/>
      <c r="J427" s="250"/>
      <c r="O427" s="251"/>
      <c r="P427" s="252"/>
      <c r="AA427" s="254">
        <f t="shared" si="138"/>
        <v>0</v>
      </c>
    </row>
    <row r="428" spans="1:27" s="207" customFormat="1" ht="24" customHeight="1">
      <c r="A428" s="234" t="s">
        <v>707</v>
      </c>
      <c r="B428" s="235"/>
      <c r="C428" s="235"/>
      <c r="D428" s="235"/>
      <c r="E428" s="235"/>
      <c r="F428" s="235"/>
      <c r="G428" s="235"/>
      <c r="H428" s="231" t="e">
        <f t="shared" si="133"/>
        <v>#DIV/0!</v>
      </c>
      <c r="I428" s="255"/>
      <c r="O428" s="251"/>
      <c r="P428" s="252"/>
      <c r="AA428" s="254">
        <f t="shared" si="138"/>
        <v>0</v>
      </c>
    </row>
    <row r="429" spans="1:27" s="205" customFormat="1" ht="29.25" customHeight="1">
      <c r="A429" s="232" t="s">
        <v>708</v>
      </c>
      <c r="B429" s="233">
        <f aca="true" t="shared" si="143" ref="B429:G429">B430+B434</f>
        <v>916</v>
      </c>
      <c r="C429" s="233">
        <f t="shared" si="143"/>
        <v>916</v>
      </c>
      <c r="D429" s="233">
        <f t="shared" si="143"/>
        <v>0</v>
      </c>
      <c r="E429" s="233">
        <f t="shared" si="143"/>
        <v>680</v>
      </c>
      <c r="F429" s="233">
        <f t="shared" si="143"/>
        <v>680</v>
      </c>
      <c r="G429" s="233">
        <f t="shared" si="143"/>
        <v>9</v>
      </c>
      <c r="H429" s="231">
        <f t="shared" si="133"/>
        <v>0.74235807860262</v>
      </c>
      <c r="I429" s="277"/>
      <c r="O429" s="247"/>
      <c r="P429" s="292"/>
      <c r="AA429" s="263"/>
    </row>
    <row r="430" spans="1:27" s="207" customFormat="1" ht="24" customHeight="1">
      <c r="A430" s="234" t="s">
        <v>709</v>
      </c>
      <c r="B430" s="235">
        <f aca="true" t="shared" si="144" ref="B430:G430">SUM(B431:B433)</f>
        <v>754</v>
      </c>
      <c r="C430" s="235">
        <f t="shared" si="144"/>
        <v>754</v>
      </c>
      <c r="D430" s="235">
        <f t="shared" si="144"/>
        <v>0</v>
      </c>
      <c r="E430" s="235">
        <f t="shared" si="144"/>
        <v>561</v>
      </c>
      <c r="F430" s="235">
        <f t="shared" si="144"/>
        <v>561</v>
      </c>
      <c r="G430" s="235">
        <f t="shared" si="144"/>
        <v>0</v>
      </c>
      <c r="H430" s="231">
        <f t="shared" si="133"/>
        <v>0.7440318302387268</v>
      </c>
      <c r="I430" s="255"/>
      <c r="O430" s="251"/>
      <c r="P430" s="293"/>
      <c r="AA430" s="254"/>
    </row>
    <row r="431" spans="1:27" s="207" customFormat="1" ht="24" customHeight="1">
      <c r="A431" s="234" t="s">
        <v>710</v>
      </c>
      <c r="B431" s="235"/>
      <c r="C431" s="235"/>
      <c r="D431" s="235"/>
      <c r="E431" s="235"/>
      <c r="F431" s="235"/>
      <c r="G431" s="235"/>
      <c r="H431" s="231" t="e">
        <f t="shared" si="133"/>
        <v>#DIV/0!</v>
      </c>
      <c r="I431" s="255"/>
      <c r="O431" s="251"/>
      <c r="P431" s="293"/>
      <c r="AA431" s="254"/>
    </row>
    <row r="432" spans="1:27" s="207" customFormat="1" ht="24" customHeight="1">
      <c r="A432" s="234" t="s">
        <v>711</v>
      </c>
      <c r="B432" s="235">
        <v>255</v>
      </c>
      <c r="C432" s="235">
        <v>255</v>
      </c>
      <c r="D432" s="235"/>
      <c r="E432" s="235">
        <v>252</v>
      </c>
      <c r="F432" s="235">
        <v>252</v>
      </c>
      <c r="G432" s="235"/>
      <c r="H432" s="231">
        <f t="shared" si="133"/>
        <v>0.9882352941176471</v>
      </c>
      <c r="I432" s="255"/>
      <c r="O432" s="251"/>
      <c r="P432" s="293"/>
      <c r="AA432" s="254"/>
    </row>
    <row r="433" spans="1:27" s="207" customFormat="1" ht="24" customHeight="1">
      <c r="A433" s="234" t="s">
        <v>712</v>
      </c>
      <c r="B433" s="235">
        <v>499</v>
      </c>
      <c r="C433" s="235">
        <v>499</v>
      </c>
      <c r="D433" s="235"/>
      <c r="E433" s="235">
        <v>309</v>
      </c>
      <c r="F433" s="235">
        <v>309</v>
      </c>
      <c r="G433" s="235"/>
      <c r="H433" s="231">
        <f t="shared" si="133"/>
        <v>0.6192384769539078</v>
      </c>
      <c r="I433" s="255"/>
      <c r="O433" s="251"/>
      <c r="P433" s="293"/>
      <c r="AA433" s="254"/>
    </row>
    <row r="434" spans="1:27" s="207" customFormat="1" ht="24" customHeight="1">
      <c r="A434" s="234" t="s">
        <v>713</v>
      </c>
      <c r="B434" s="235">
        <f aca="true" t="shared" si="145" ref="B434:G434">SUM(B435)</f>
        <v>162</v>
      </c>
      <c r="C434" s="235">
        <f t="shared" si="145"/>
        <v>162</v>
      </c>
      <c r="D434" s="235">
        <f t="shared" si="145"/>
        <v>0</v>
      </c>
      <c r="E434" s="235">
        <f t="shared" si="145"/>
        <v>119</v>
      </c>
      <c r="F434" s="235">
        <f t="shared" si="145"/>
        <v>119</v>
      </c>
      <c r="G434" s="235">
        <f t="shared" si="145"/>
        <v>9</v>
      </c>
      <c r="H434" s="231">
        <f t="shared" si="133"/>
        <v>0.7345679012345679</v>
      </c>
      <c r="I434" s="255"/>
      <c r="O434" s="251"/>
      <c r="P434" s="293"/>
      <c r="AA434" s="254"/>
    </row>
    <row r="435" spans="1:27" s="207" customFormat="1" ht="24" customHeight="1">
      <c r="A435" s="234" t="s">
        <v>714</v>
      </c>
      <c r="B435" s="235">
        <v>162</v>
      </c>
      <c r="C435" s="235">
        <v>162</v>
      </c>
      <c r="D435" s="235"/>
      <c r="E435" s="235">
        <v>119</v>
      </c>
      <c r="F435" s="235">
        <v>119</v>
      </c>
      <c r="G435" s="235">
        <v>9</v>
      </c>
      <c r="H435" s="231">
        <f t="shared" si="133"/>
        <v>0.7345679012345679</v>
      </c>
      <c r="I435" s="255"/>
      <c r="O435" s="251"/>
      <c r="P435" s="293"/>
      <c r="AA435" s="254"/>
    </row>
    <row r="436" spans="1:254" s="205" customFormat="1" ht="24" customHeight="1">
      <c r="A436" s="232" t="s">
        <v>715</v>
      </c>
      <c r="B436" s="233">
        <v>748</v>
      </c>
      <c r="C436" s="233">
        <v>748</v>
      </c>
      <c r="D436" s="233"/>
      <c r="E436" s="233">
        <v>867</v>
      </c>
      <c r="F436" s="233">
        <v>867</v>
      </c>
      <c r="G436" s="233"/>
      <c r="H436" s="231">
        <f t="shared" si="133"/>
        <v>1.1590909090909092</v>
      </c>
      <c r="I436" s="245"/>
      <c r="J436" s="246"/>
      <c r="K436" s="294"/>
      <c r="L436" s="294"/>
      <c r="M436" s="294"/>
      <c r="N436" s="294"/>
      <c r="O436" s="247"/>
      <c r="P436" s="292"/>
      <c r="Q436" s="298"/>
      <c r="R436" s="298"/>
      <c r="S436" s="298"/>
      <c r="T436" s="298"/>
      <c r="U436" s="298"/>
      <c r="V436" s="298"/>
      <c r="W436" s="298"/>
      <c r="X436" s="299"/>
      <c r="Y436" s="299"/>
      <c r="Z436" s="299"/>
      <c r="AA436" s="263">
        <f t="shared" si="138"/>
        <v>0</v>
      </c>
      <c r="AB436" s="299"/>
      <c r="AC436" s="299"/>
      <c r="AD436" s="299"/>
      <c r="AE436" s="299"/>
      <c r="AF436" s="299"/>
      <c r="AG436" s="299"/>
      <c r="AH436" s="299"/>
      <c r="AI436" s="299"/>
      <c r="AJ436" s="299"/>
      <c r="AK436" s="299"/>
      <c r="AL436" s="299"/>
      <c r="AM436" s="299"/>
      <c r="AN436" s="299"/>
      <c r="AO436" s="299"/>
      <c r="AP436" s="299"/>
      <c r="AQ436" s="299"/>
      <c r="AR436" s="299"/>
      <c r="AS436" s="299"/>
      <c r="AT436" s="299"/>
      <c r="AU436" s="299"/>
      <c r="AV436" s="299"/>
      <c r="AW436" s="299"/>
      <c r="AX436" s="299"/>
      <c r="AY436" s="299"/>
      <c r="AZ436" s="299"/>
      <c r="BA436" s="299"/>
      <c r="BB436" s="299"/>
      <c r="BC436" s="299"/>
      <c r="BD436" s="299"/>
      <c r="BE436" s="299"/>
      <c r="BF436" s="299"/>
      <c r="BG436" s="299"/>
      <c r="BH436" s="299"/>
      <c r="BI436" s="299"/>
      <c r="BJ436" s="299"/>
      <c r="BK436" s="299"/>
      <c r="BL436" s="299"/>
      <c r="BM436" s="299"/>
      <c r="BN436" s="299"/>
      <c r="BO436" s="299"/>
      <c r="BP436" s="299"/>
      <c r="BQ436" s="299"/>
      <c r="BR436" s="299"/>
      <c r="BS436" s="299"/>
      <c r="BT436" s="299"/>
      <c r="BU436" s="299"/>
      <c r="BV436" s="299"/>
      <c r="BW436" s="299"/>
      <c r="BX436" s="299"/>
      <c r="BY436" s="299"/>
      <c r="BZ436" s="299"/>
      <c r="CA436" s="299"/>
      <c r="CB436" s="299"/>
      <c r="CC436" s="299"/>
      <c r="CD436" s="299"/>
      <c r="CE436" s="299"/>
      <c r="CF436" s="299"/>
      <c r="CG436" s="299"/>
      <c r="CH436" s="299"/>
      <c r="CI436" s="299"/>
      <c r="CJ436" s="299"/>
      <c r="CK436" s="299"/>
      <c r="CL436" s="299"/>
      <c r="CM436" s="299"/>
      <c r="CN436" s="299"/>
      <c r="CO436" s="299"/>
      <c r="CP436" s="299"/>
      <c r="CQ436" s="299"/>
      <c r="CR436" s="299"/>
      <c r="CS436" s="299"/>
      <c r="CT436" s="299"/>
      <c r="CU436" s="299"/>
      <c r="CV436" s="299"/>
      <c r="CW436" s="299"/>
      <c r="CX436" s="299"/>
      <c r="CY436" s="299"/>
      <c r="CZ436" s="299"/>
      <c r="DA436" s="299"/>
      <c r="DB436" s="299"/>
      <c r="DC436" s="299"/>
      <c r="DD436" s="299"/>
      <c r="DE436" s="299"/>
      <c r="DF436" s="299"/>
      <c r="DG436" s="299"/>
      <c r="DH436" s="299"/>
      <c r="DI436" s="299"/>
      <c r="DJ436" s="299"/>
      <c r="DK436" s="299"/>
      <c r="DL436" s="299"/>
      <c r="DM436" s="299"/>
      <c r="DN436" s="299"/>
      <c r="DO436" s="299"/>
      <c r="DP436" s="299"/>
      <c r="DQ436" s="299"/>
      <c r="DR436" s="299"/>
      <c r="DS436" s="299"/>
      <c r="DT436" s="299"/>
      <c r="DU436" s="299"/>
      <c r="DV436" s="299"/>
      <c r="DW436" s="299"/>
      <c r="DX436" s="299"/>
      <c r="DY436" s="299"/>
      <c r="DZ436" s="299"/>
      <c r="EA436" s="299"/>
      <c r="EB436" s="299"/>
      <c r="EC436" s="299"/>
      <c r="ED436" s="299"/>
      <c r="EE436" s="299"/>
      <c r="EF436" s="299"/>
      <c r="EG436" s="299"/>
      <c r="EH436" s="299"/>
      <c r="EI436" s="299"/>
      <c r="EJ436" s="299"/>
      <c r="EK436" s="299"/>
      <c r="EL436" s="299"/>
      <c r="EM436" s="299"/>
      <c r="EN436" s="299"/>
      <c r="EO436" s="299"/>
      <c r="EP436" s="299"/>
      <c r="EQ436" s="299"/>
      <c r="ER436" s="299"/>
      <c r="ES436" s="299"/>
      <c r="ET436" s="299"/>
      <c r="EU436" s="299"/>
      <c r="EV436" s="299"/>
      <c r="EW436" s="299"/>
      <c r="EX436" s="299"/>
      <c r="EY436" s="299"/>
      <c r="EZ436" s="299"/>
      <c r="FA436" s="299"/>
      <c r="FB436" s="299"/>
      <c r="FC436" s="299"/>
      <c r="FD436" s="299"/>
      <c r="FE436" s="299"/>
      <c r="FF436" s="299"/>
      <c r="FG436" s="299"/>
      <c r="FH436" s="299"/>
      <c r="FI436" s="299"/>
      <c r="FJ436" s="299"/>
      <c r="FK436" s="299"/>
      <c r="FL436" s="299"/>
      <c r="FM436" s="299"/>
      <c r="FN436" s="299"/>
      <c r="FO436" s="299"/>
      <c r="FP436" s="299"/>
      <c r="FQ436" s="299"/>
      <c r="FR436" s="299"/>
      <c r="FS436" s="299"/>
      <c r="FT436" s="299"/>
      <c r="FU436" s="299"/>
      <c r="FV436" s="299"/>
      <c r="FW436" s="299"/>
      <c r="FX436" s="299"/>
      <c r="FY436" s="299"/>
      <c r="FZ436" s="299"/>
      <c r="GA436" s="299"/>
      <c r="GB436" s="299"/>
      <c r="GC436" s="299"/>
      <c r="GD436" s="299"/>
      <c r="GE436" s="299"/>
      <c r="GF436" s="299"/>
      <c r="GG436" s="299"/>
      <c r="GH436" s="299"/>
      <c r="GI436" s="299"/>
      <c r="GJ436" s="299"/>
      <c r="GK436" s="299"/>
      <c r="GL436" s="299"/>
      <c r="GM436" s="299"/>
      <c r="GN436" s="299"/>
      <c r="GO436" s="299"/>
      <c r="GP436" s="299"/>
      <c r="GQ436" s="299"/>
      <c r="GR436" s="299"/>
      <c r="GS436" s="299"/>
      <c r="GT436" s="299"/>
      <c r="GU436" s="299"/>
      <c r="GV436" s="299"/>
      <c r="GW436" s="299"/>
      <c r="GX436" s="299"/>
      <c r="GY436" s="299"/>
      <c r="GZ436" s="299"/>
      <c r="HA436" s="299"/>
      <c r="HB436" s="299"/>
      <c r="HC436" s="299"/>
      <c r="HD436" s="299"/>
      <c r="HE436" s="299"/>
      <c r="HF436" s="299"/>
      <c r="HG436" s="299"/>
      <c r="HH436" s="299"/>
      <c r="HI436" s="299"/>
      <c r="HJ436" s="299"/>
      <c r="HK436" s="299"/>
      <c r="HL436" s="299"/>
      <c r="HM436" s="299"/>
      <c r="HN436" s="299"/>
      <c r="HO436" s="299"/>
      <c r="HP436" s="300"/>
      <c r="HQ436" s="300"/>
      <c r="HR436" s="300"/>
      <c r="HS436" s="300"/>
      <c r="HT436" s="300"/>
      <c r="HU436" s="300"/>
      <c r="HV436" s="300"/>
      <c r="HW436" s="300"/>
      <c r="HX436" s="300"/>
      <c r="HY436" s="300"/>
      <c r="HZ436" s="300"/>
      <c r="IA436" s="300"/>
      <c r="IB436" s="300"/>
      <c r="IC436" s="300"/>
      <c r="ID436" s="300"/>
      <c r="IE436" s="300"/>
      <c r="IF436" s="300"/>
      <c r="IG436" s="300"/>
      <c r="IH436" s="300"/>
      <c r="II436" s="300"/>
      <c r="IJ436" s="300"/>
      <c r="IK436" s="300"/>
      <c r="IL436" s="300"/>
      <c r="IM436" s="300"/>
      <c r="IN436" s="300"/>
      <c r="IO436" s="300"/>
      <c r="IP436" s="300"/>
      <c r="IQ436" s="300"/>
      <c r="IR436" s="300"/>
      <c r="IS436" s="300"/>
      <c r="IT436" s="300"/>
    </row>
    <row r="437" spans="1:9" ht="14.25">
      <c r="A437" s="232" t="s">
        <v>716</v>
      </c>
      <c r="B437" s="233">
        <f aca="true" t="shared" si="146" ref="B437:G437">B438+B439</f>
        <v>2742</v>
      </c>
      <c r="C437" s="233">
        <f t="shared" si="146"/>
        <v>2742</v>
      </c>
      <c r="D437" s="233">
        <f t="shared" si="146"/>
        <v>0</v>
      </c>
      <c r="E437" s="233">
        <f t="shared" si="146"/>
        <v>1234</v>
      </c>
      <c r="F437" s="233">
        <f t="shared" si="146"/>
        <v>1234</v>
      </c>
      <c r="G437" s="233">
        <f t="shared" si="146"/>
        <v>0</v>
      </c>
      <c r="H437" s="231">
        <f aca="true" t="shared" si="147" ref="H437:H445">E437/B437</f>
        <v>0.450036469730124</v>
      </c>
      <c r="I437" s="245"/>
    </row>
    <row r="438" spans="1:9" ht="27">
      <c r="A438" s="234" t="s">
        <v>717</v>
      </c>
      <c r="B438" s="235">
        <v>2210</v>
      </c>
      <c r="C438" s="235">
        <v>2210</v>
      </c>
      <c r="D438" s="235"/>
      <c r="E438" s="235">
        <v>720</v>
      </c>
      <c r="F438" s="235">
        <v>720</v>
      </c>
      <c r="G438" s="235"/>
      <c r="H438" s="231">
        <f t="shared" si="147"/>
        <v>0.3257918552036199</v>
      </c>
      <c r="I438" s="255" t="s">
        <v>718</v>
      </c>
    </row>
    <row r="439" spans="1:9" ht="14.25">
      <c r="A439" s="234" t="s">
        <v>210</v>
      </c>
      <c r="B439" s="235">
        <v>532</v>
      </c>
      <c r="C439" s="235">
        <v>532</v>
      </c>
      <c r="D439" s="235"/>
      <c r="E439" s="235">
        <v>514</v>
      </c>
      <c r="F439" s="235">
        <v>514</v>
      </c>
      <c r="G439" s="235"/>
      <c r="H439" s="231">
        <f t="shared" si="147"/>
        <v>0.9661654135338346</v>
      </c>
      <c r="I439" s="274" t="s">
        <v>719</v>
      </c>
    </row>
    <row r="440" spans="1:27" s="205" customFormat="1" ht="24" customHeight="1">
      <c r="A440" s="232" t="s">
        <v>720</v>
      </c>
      <c r="B440" s="233">
        <f aca="true" t="shared" si="148" ref="B440:D441">SUM(B441)</f>
        <v>820</v>
      </c>
      <c r="C440" s="233">
        <f t="shared" si="148"/>
        <v>820</v>
      </c>
      <c r="D440" s="233">
        <f t="shared" si="148"/>
        <v>0</v>
      </c>
      <c r="E440" s="233">
        <f aca="true" t="shared" si="149" ref="E440:G441">SUM(E441)</f>
        <v>5610</v>
      </c>
      <c r="F440" s="233">
        <f t="shared" si="149"/>
        <v>5610</v>
      </c>
      <c r="G440" s="233">
        <f t="shared" si="149"/>
        <v>0</v>
      </c>
      <c r="H440" s="231">
        <f t="shared" si="147"/>
        <v>6.841463414634147</v>
      </c>
      <c r="I440" s="245"/>
      <c r="J440" s="246"/>
      <c r="O440" s="247"/>
      <c r="P440" s="292"/>
      <c r="AA440" s="263"/>
    </row>
    <row r="441" spans="1:27" s="207" customFormat="1" ht="30.75" customHeight="1">
      <c r="A441" s="234" t="s">
        <v>721</v>
      </c>
      <c r="B441" s="235">
        <f t="shared" si="148"/>
        <v>820</v>
      </c>
      <c r="C441" s="235">
        <f t="shared" si="148"/>
        <v>820</v>
      </c>
      <c r="D441" s="235">
        <f t="shared" si="148"/>
        <v>0</v>
      </c>
      <c r="E441" s="235">
        <f t="shared" si="149"/>
        <v>5610</v>
      </c>
      <c r="F441" s="235">
        <f t="shared" si="149"/>
        <v>5610</v>
      </c>
      <c r="G441" s="235">
        <f t="shared" si="149"/>
        <v>0</v>
      </c>
      <c r="H441" s="231">
        <f t="shared" si="147"/>
        <v>6.841463414634147</v>
      </c>
      <c r="I441" s="249"/>
      <c r="J441" s="250"/>
      <c r="O441" s="251"/>
      <c r="P441" s="293"/>
      <c r="AA441" s="254"/>
    </row>
    <row r="442" spans="1:27" s="207" customFormat="1" ht="30.75" customHeight="1">
      <c r="A442" s="234" t="s">
        <v>722</v>
      </c>
      <c r="B442" s="235">
        <f>2410-1590</f>
        <v>820</v>
      </c>
      <c r="C442" s="235">
        <f>1960+450-1590</f>
        <v>820</v>
      </c>
      <c r="D442" s="235"/>
      <c r="E442" s="235">
        <v>5610</v>
      </c>
      <c r="F442" s="235">
        <f>5060+550</f>
        <v>5610</v>
      </c>
      <c r="G442" s="235"/>
      <c r="H442" s="231">
        <f t="shared" si="147"/>
        <v>6.841463414634147</v>
      </c>
      <c r="I442" s="255" t="s">
        <v>723</v>
      </c>
      <c r="J442" s="250"/>
      <c r="O442" s="251"/>
      <c r="P442" s="293"/>
      <c r="AA442" s="254"/>
    </row>
    <row r="443" spans="1:27" s="205" customFormat="1" ht="24" customHeight="1">
      <c r="A443" s="232" t="s">
        <v>724</v>
      </c>
      <c r="B443" s="233">
        <f aca="true" t="shared" si="150" ref="B443:G443">B444</f>
        <v>2108</v>
      </c>
      <c r="C443" s="233">
        <f t="shared" si="150"/>
        <v>2108</v>
      </c>
      <c r="D443" s="233">
        <f t="shared" si="150"/>
        <v>0</v>
      </c>
      <c r="E443" s="233">
        <f t="shared" si="150"/>
        <v>8828</v>
      </c>
      <c r="F443" s="233">
        <f t="shared" si="150"/>
        <v>8828</v>
      </c>
      <c r="G443" s="233">
        <f t="shared" si="150"/>
        <v>0</v>
      </c>
      <c r="H443" s="231">
        <f t="shared" si="147"/>
        <v>4.1878557874762805</v>
      </c>
      <c r="I443" s="245"/>
      <c r="J443" s="246"/>
      <c r="O443" s="247"/>
      <c r="P443" s="295"/>
      <c r="AA443" s="263">
        <f>F443-E443</f>
        <v>0</v>
      </c>
    </row>
    <row r="444" spans="1:27" s="207" customFormat="1" ht="27.75" customHeight="1">
      <c r="A444" s="234" t="s">
        <v>725</v>
      </c>
      <c r="B444" s="235">
        <f aca="true" t="shared" si="151" ref="B444:G444">SUM(B445)</f>
        <v>2108</v>
      </c>
      <c r="C444" s="235">
        <f t="shared" si="151"/>
        <v>2108</v>
      </c>
      <c r="D444" s="235">
        <f t="shared" si="151"/>
        <v>0</v>
      </c>
      <c r="E444" s="235">
        <f t="shared" si="151"/>
        <v>8828</v>
      </c>
      <c r="F444" s="235">
        <f t="shared" si="151"/>
        <v>8828</v>
      </c>
      <c r="G444" s="235">
        <f t="shared" si="151"/>
        <v>0</v>
      </c>
      <c r="H444" s="231">
        <f t="shared" si="147"/>
        <v>4.1878557874762805</v>
      </c>
      <c r="I444" s="255"/>
      <c r="O444" s="251"/>
      <c r="P444" s="296"/>
      <c r="AA444" s="254">
        <f>F444-E444</f>
        <v>0</v>
      </c>
    </row>
    <row r="445" spans="1:27" s="207" customFormat="1" ht="27.75" customHeight="1">
      <c r="A445" s="234" t="s">
        <v>726</v>
      </c>
      <c r="B445" s="235">
        <v>2108</v>
      </c>
      <c r="C445" s="235">
        <v>2108</v>
      </c>
      <c r="D445" s="235"/>
      <c r="E445" s="235">
        <v>8828</v>
      </c>
      <c r="F445" s="235">
        <f>14438-5060-550</f>
        <v>8828</v>
      </c>
      <c r="G445" s="235"/>
      <c r="H445" s="231">
        <f t="shared" si="147"/>
        <v>4.1878557874762805</v>
      </c>
      <c r="I445" s="255" t="s">
        <v>727</v>
      </c>
      <c r="O445" s="251"/>
      <c r="P445" s="297"/>
      <c r="AA445" s="254">
        <f>F445-E445</f>
        <v>0</v>
      </c>
    </row>
    <row r="446" spans="2:8" ht="33.75" customHeight="1">
      <c r="B446" s="212"/>
      <c r="H446" s="290"/>
    </row>
    <row r="447" spans="2:8" ht="33.75" customHeight="1">
      <c r="B447" s="212"/>
      <c r="H447" s="290"/>
    </row>
    <row r="448" spans="2:8" ht="33.75" customHeight="1">
      <c r="B448" s="212"/>
      <c r="H448" s="290"/>
    </row>
    <row r="449" ht="33.75" customHeight="1"/>
    <row r="450" ht="33.75" customHeight="1"/>
    <row r="451" ht="33.75" customHeight="1"/>
    <row r="452" spans="3:8" ht="14.25">
      <c r="C452" s="211"/>
      <c r="H452" s="290"/>
    </row>
    <row r="453" spans="3:8" ht="14.25">
      <c r="C453" s="211"/>
      <c r="H453" s="290"/>
    </row>
    <row r="454" spans="3:8" ht="14.25">
      <c r="C454" s="211"/>
      <c r="H454" s="290"/>
    </row>
    <row r="455" spans="3:8" ht="14.25">
      <c r="C455" s="211"/>
      <c r="H455" s="290"/>
    </row>
    <row r="456" spans="3:8" ht="14.25">
      <c r="C456" s="211"/>
      <c r="H456" s="290"/>
    </row>
    <row r="457" spans="3:8" ht="14.25">
      <c r="C457" s="211"/>
      <c r="H457" s="290"/>
    </row>
    <row r="458" spans="3:8" ht="14.25">
      <c r="C458" s="211"/>
      <c r="H458" s="290"/>
    </row>
    <row r="459" spans="3:8" ht="14.25">
      <c r="C459" s="211"/>
      <c r="H459" s="290"/>
    </row>
    <row r="460" spans="3:8" ht="14.25">
      <c r="C460" s="211"/>
      <c r="H460" s="301"/>
    </row>
    <row r="461" spans="3:8" ht="14.25">
      <c r="C461" s="211"/>
      <c r="H461" s="302"/>
    </row>
    <row r="462" spans="3:8" ht="14.25">
      <c r="C462" s="211"/>
      <c r="H462" s="302"/>
    </row>
    <row r="463" ht="14.25">
      <c r="C463" s="211"/>
    </row>
    <row r="464" ht="14.25">
      <c r="C464" s="211"/>
    </row>
    <row r="465" ht="14.25">
      <c r="C465" s="211"/>
    </row>
    <row r="466" ht="14.25">
      <c r="C466" s="211"/>
    </row>
    <row r="467" ht="14.25">
      <c r="C467" s="211"/>
    </row>
    <row r="468" ht="14.25">
      <c r="C468" s="211"/>
    </row>
    <row r="469" ht="14.25">
      <c r="C469" s="211"/>
    </row>
    <row r="470" ht="14.25">
      <c r="C470" s="211"/>
    </row>
    <row r="471" ht="14.25">
      <c r="C471" s="211"/>
    </row>
    <row r="472" ht="14.25">
      <c r="C472" s="211"/>
    </row>
    <row r="473" ht="14.25">
      <c r="C473" s="211"/>
    </row>
    <row r="474" ht="14.25">
      <c r="C474" s="211"/>
    </row>
    <row r="475" ht="14.25">
      <c r="C475" s="211"/>
    </row>
    <row r="476" ht="14.25">
      <c r="C476" s="211"/>
    </row>
    <row r="477" ht="14.25">
      <c r="C477" s="211"/>
    </row>
    <row r="478" ht="14.25">
      <c r="C478" s="211"/>
    </row>
    <row r="479" ht="14.25">
      <c r="C479" s="211"/>
    </row>
  </sheetData>
  <sheetProtection/>
  <mergeCells count="8">
    <mergeCell ref="A1:I1"/>
    <mergeCell ref="A3:A4"/>
    <mergeCell ref="B3:B4"/>
    <mergeCell ref="C3:C4"/>
    <mergeCell ref="E3:E4"/>
    <mergeCell ref="F3:F4"/>
    <mergeCell ref="H3:H4"/>
    <mergeCell ref="I3:I4"/>
  </mergeCells>
  <printOptions horizontalCentered="1"/>
  <pageMargins left="0.17" right="0.17" top="0.26" bottom="0.35" header="0.98" footer="0.12"/>
  <pageSetup horizontalDpi="600" verticalDpi="600" orientation="landscape" paperSize="9"/>
  <rowBreaks count="1" manualBreakCount="1">
    <brk id="444" max="255" man="1"/>
  </rowBreaks>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D15"/>
  <sheetViews>
    <sheetView zoomScaleSheetLayoutView="100" workbookViewId="0" topLeftCell="A7">
      <selection activeCell="B15" sqref="B15"/>
    </sheetView>
  </sheetViews>
  <sheetFormatPr defaultColWidth="9.00390625" defaultRowHeight="14.25"/>
  <cols>
    <col min="1" max="3" width="35.00390625" style="29" customWidth="1"/>
    <col min="4" max="4" width="30.875" style="29" customWidth="1"/>
    <col min="5" max="7" width="9.00390625" style="29" customWidth="1"/>
    <col min="8" max="8" width="32.50390625" style="29" customWidth="1"/>
    <col min="9" max="16384" width="9.00390625" style="29" customWidth="1"/>
  </cols>
  <sheetData>
    <row r="1" spans="1:3" ht="39.75" customHeight="1">
      <c r="A1" s="195" t="s">
        <v>728</v>
      </c>
      <c r="B1" s="195"/>
      <c r="C1" s="195"/>
    </row>
    <row r="2" spans="1:3" s="28" customFormat="1" ht="18.75" customHeight="1">
      <c r="A2" s="108" t="s">
        <v>729</v>
      </c>
      <c r="B2" s="108"/>
      <c r="C2" s="122" t="s">
        <v>2</v>
      </c>
    </row>
    <row r="3" spans="1:3" s="28" customFormat="1" ht="27.75" customHeight="1">
      <c r="A3" s="123" t="s">
        <v>730</v>
      </c>
      <c r="B3" s="123" t="s">
        <v>170</v>
      </c>
      <c r="C3" s="123" t="s">
        <v>8</v>
      </c>
    </row>
    <row r="4" spans="1:3" s="28" customFormat="1" ht="27.75" customHeight="1">
      <c r="A4" s="126" t="s">
        <v>99</v>
      </c>
      <c r="B4" s="196">
        <f>SUM(B5:B15)</f>
        <v>84890</v>
      </c>
      <c r="C4" s="197"/>
    </row>
    <row r="5" spans="1:4" s="28" customFormat="1" ht="27.75" customHeight="1">
      <c r="A5" s="124" t="s">
        <v>731</v>
      </c>
      <c r="B5" s="196">
        <f>1148+1732+1780+522+257+204+1488+291+144+45+29+112+450+346+1061+326</f>
        <v>9935</v>
      </c>
      <c r="C5" s="117"/>
      <c r="D5" s="198"/>
    </row>
    <row r="6" spans="1:4" s="28" customFormat="1" ht="27.75" customHeight="1">
      <c r="A6" s="124" t="s">
        <v>732</v>
      </c>
      <c r="B6" s="196">
        <v>6562</v>
      </c>
      <c r="C6" s="117"/>
      <c r="D6" s="198"/>
    </row>
    <row r="7" spans="1:4" s="28" customFormat="1" ht="27.75" customHeight="1">
      <c r="A7" s="124" t="s">
        <v>733</v>
      </c>
      <c r="B7" s="196">
        <f>4038+4084</f>
        <v>8122</v>
      </c>
      <c r="C7" s="117"/>
      <c r="D7" s="198"/>
    </row>
    <row r="8" spans="1:4" s="28" customFormat="1" ht="27.75" customHeight="1">
      <c r="A8" s="124" t="s">
        <v>734</v>
      </c>
      <c r="B8" s="199"/>
      <c r="C8" s="200"/>
      <c r="D8" s="198"/>
    </row>
    <row r="9" spans="1:4" s="28" customFormat="1" ht="27.75" customHeight="1">
      <c r="A9" s="124" t="s">
        <v>735</v>
      </c>
      <c r="B9" s="196">
        <f>14+925+14549+42+538+448+118+92+8347+1537</f>
        <v>26610</v>
      </c>
      <c r="C9" s="117"/>
      <c r="D9" s="198"/>
    </row>
    <row r="10" spans="1:4" s="28" customFormat="1" ht="27.75" customHeight="1">
      <c r="A10" s="124" t="s">
        <v>736</v>
      </c>
      <c r="B10" s="199"/>
      <c r="C10" s="200"/>
      <c r="D10" s="198"/>
    </row>
    <row r="11" spans="1:4" s="28" customFormat="1" ht="27.75" customHeight="1">
      <c r="A11" s="124" t="s">
        <v>737</v>
      </c>
      <c r="B11" s="199">
        <f>117+260+108</f>
        <v>485</v>
      </c>
      <c r="C11" s="200"/>
      <c r="D11" s="198"/>
    </row>
    <row r="12" spans="1:4" s="28" customFormat="1" ht="27.75" customHeight="1">
      <c r="A12" s="124" t="s">
        <v>738</v>
      </c>
      <c r="B12" s="199">
        <f>5305+10465</f>
        <v>15770</v>
      </c>
      <c r="C12" s="200"/>
      <c r="D12" s="198"/>
    </row>
    <row r="13" spans="1:4" s="28" customFormat="1" ht="27.75" customHeight="1">
      <c r="A13" s="124" t="s">
        <v>739</v>
      </c>
      <c r="B13" s="199">
        <v>14438</v>
      </c>
      <c r="C13" s="200"/>
      <c r="D13" s="198"/>
    </row>
    <row r="14" spans="1:3" ht="27.75" customHeight="1">
      <c r="A14" s="124" t="s">
        <v>740</v>
      </c>
      <c r="B14" s="196">
        <f>867+720</f>
        <v>1587</v>
      </c>
      <c r="C14" s="117"/>
    </row>
    <row r="15" spans="1:3" ht="27.75" customHeight="1">
      <c r="A15" s="124" t="s">
        <v>125</v>
      </c>
      <c r="B15" s="196">
        <v>1381</v>
      </c>
      <c r="C15" s="117"/>
    </row>
  </sheetData>
  <sheetProtection/>
  <mergeCells count="1">
    <mergeCell ref="A1:C1"/>
  </mergeCells>
  <printOptions horizontalCentered="1"/>
  <pageMargins left="0.75" right="0.47" top="0.79" bottom="0.79" header="0.51" footer="0.2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E12"/>
  <sheetViews>
    <sheetView zoomScaleSheetLayoutView="100" workbookViewId="0" topLeftCell="A4">
      <selection activeCell="C6" sqref="C6"/>
    </sheetView>
  </sheetViews>
  <sheetFormatPr defaultColWidth="20.50390625" defaultRowHeight="30" customHeight="1"/>
  <cols>
    <col min="1" max="1" width="31.125" style="178" customWidth="1"/>
    <col min="2" max="2" width="17.25390625" style="130" customWidth="1"/>
    <col min="3" max="3" width="15.75390625" style="179" customWidth="1"/>
    <col min="4" max="4" width="19.00390625" style="0" customWidth="1"/>
    <col min="5" max="5" width="16.50390625" style="0" customWidth="1"/>
  </cols>
  <sheetData>
    <row r="1" spans="1:5" ht="49.5" customHeight="1">
      <c r="A1" s="180" t="s">
        <v>741</v>
      </c>
      <c r="B1" s="180"/>
      <c r="C1" s="180"/>
      <c r="D1" s="180"/>
      <c r="E1" s="180"/>
    </row>
    <row r="2" spans="1:5" ht="23.25" customHeight="1">
      <c r="A2" s="181" t="s">
        <v>742</v>
      </c>
      <c r="D2" s="182" t="s">
        <v>2</v>
      </c>
      <c r="E2" s="182"/>
    </row>
    <row r="3" spans="1:5" ht="44.25" customHeight="1">
      <c r="A3" s="183" t="s">
        <v>61</v>
      </c>
      <c r="B3" s="184" t="s">
        <v>5</v>
      </c>
      <c r="C3" s="185" t="s">
        <v>170</v>
      </c>
      <c r="D3" s="186" t="s">
        <v>743</v>
      </c>
      <c r="E3" s="184" t="s">
        <v>8</v>
      </c>
    </row>
    <row r="4" spans="1:5" ht="33" customHeight="1">
      <c r="A4" s="187" t="s">
        <v>65</v>
      </c>
      <c r="B4" s="188">
        <v>3109</v>
      </c>
      <c r="C4" s="184">
        <v>8800</v>
      </c>
      <c r="D4" s="189">
        <f>C4/B4</f>
        <v>2.8304921196526216</v>
      </c>
      <c r="E4" s="186"/>
    </row>
    <row r="5" spans="1:5" ht="33" customHeight="1">
      <c r="A5" s="187" t="s">
        <v>66</v>
      </c>
      <c r="B5" s="184">
        <v>63</v>
      </c>
      <c r="C5" s="184"/>
      <c r="D5" s="189">
        <f aca="true" t="shared" si="0" ref="D5:D12">C5/B5</f>
        <v>0</v>
      </c>
      <c r="E5" s="186"/>
    </row>
    <row r="6" spans="1:5" ht="33" customHeight="1">
      <c r="A6" s="190" t="s">
        <v>67</v>
      </c>
      <c r="B6" s="188">
        <v>363</v>
      </c>
      <c r="C6" s="184">
        <v>1000</v>
      </c>
      <c r="D6" s="189">
        <f t="shared" si="0"/>
        <v>2.7548209366391183</v>
      </c>
      <c r="E6" s="186"/>
    </row>
    <row r="7" spans="1:5" ht="33" customHeight="1">
      <c r="A7" s="190" t="s">
        <v>68</v>
      </c>
      <c r="B7" s="185">
        <v>19</v>
      </c>
      <c r="C7" s="184">
        <v>50</v>
      </c>
      <c r="D7" s="189">
        <f t="shared" si="0"/>
        <v>2.6315789473684212</v>
      </c>
      <c r="E7" s="186"/>
    </row>
    <row r="8" spans="1:5" ht="33" customHeight="1">
      <c r="A8" s="190" t="s">
        <v>69</v>
      </c>
      <c r="B8" s="185">
        <v>2</v>
      </c>
      <c r="C8" s="184"/>
      <c r="D8" s="189">
        <f t="shared" si="0"/>
        <v>0</v>
      </c>
      <c r="E8" s="186"/>
    </row>
    <row r="9" spans="1:5" s="177" customFormat="1" ht="30.75" customHeight="1">
      <c r="A9" s="191" t="s">
        <v>64</v>
      </c>
      <c r="B9" s="192">
        <f>SUM(B4:B8)</f>
        <v>3556</v>
      </c>
      <c r="C9" s="193">
        <f>SUM(C4:C8)</f>
        <v>9850</v>
      </c>
      <c r="D9" s="189">
        <f t="shared" si="0"/>
        <v>2.7699662542182226</v>
      </c>
      <c r="E9" s="191"/>
    </row>
    <row r="10" spans="1:5" ht="30" customHeight="1">
      <c r="A10" s="194" t="s">
        <v>744</v>
      </c>
      <c r="B10" s="184">
        <v>9364</v>
      </c>
      <c r="C10" s="185">
        <v>124</v>
      </c>
      <c r="D10" s="189">
        <f t="shared" si="0"/>
        <v>0.013242204186245195</v>
      </c>
      <c r="E10" s="186"/>
    </row>
    <row r="11" spans="1:5" ht="30" customHeight="1">
      <c r="A11" s="194" t="s">
        <v>745</v>
      </c>
      <c r="B11" s="184">
        <v>9364</v>
      </c>
      <c r="C11" s="185">
        <v>124</v>
      </c>
      <c r="D11" s="189">
        <f t="shared" si="0"/>
        <v>0.013242204186245195</v>
      </c>
      <c r="E11" s="186"/>
    </row>
    <row r="12" spans="1:5" ht="30" customHeight="1">
      <c r="A12" s="191" t="s">
        <v>64</v>
      </c>
      <c r="B12" s="184">
        <f>B10+B9</f>
        <v>12920</v>
      </c>
      <c r="C12" s="184">
        <f>C10+C9</f>
        <v>9974</v>
      </c>
      <c r="D12" s="189">
        <f t="shared" si="0"/>
        <v>0.7719814241486068</v>
      </c>
      <c r="E12" s="186"/>
    </row>
  </sheetData>
  <sheetProtection/>
  <mergeCells count="2">
    <mergeCell ref="A1:E1"/>
    <mergeCell ref="D2:E2"/>
  </mergeCells>
  <printOptions horizontalCentered="1"/>
  <pageMargins left="0.75" right="0.31" top="0.78" bottom="1" header="0.51"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33"/>
  <sheetViews>
    <sheetView zoomScaleSheetLayoutView="100" workbookViewId="0" topLeftCell="A1">
      <selection activeCell="A4" sqref="A4"/>
    </sheetView>
  </sheetViews>
  <sheetFormatPr defaultColWidth="9.00390625" defaultRowHeight="14.25"/>
  <cols>
    <col min="1" max="1" width="55.875" style="29" customWidth="1"/>
    <col min="2" max="2" width="8.625" style="153" customWidth="1"/>
    <col min="3" max="3" width="8.125" style="153" customWidth="1"/>
    <col min="4" max="4" width="8.375" style="153" customWidth="1"/>
    <col min="5" max="5" width="9.625" style="153" customWidth="1"/>
    <col min="6" max="6" width="9.625" style="29" customWidth="1"/>
    <col min="7" max="7" width="27.375" style="154" customWidth="1"/>
    <col min="8" max="16384" width="9.00390625" style="29" customWidth="1"/>
  </cols>
  <sheetData>
    <row r="1" spans="1:7" ht="36" customHeight="1">
      <c r="A1" s="155" t="s">
        <v>746</v>
      </c>
      <c r="B1" s="155"/>
      <c r="C1" s="155"/>
      <c r="D1" s="155"/>
      <c r="E1" s="155"/>
      <c r="F1" s="155"/>
      <c r="G1" s="155"/>
    </row>
    <row r="2" spans="1:7" ht="18.75" customHeight="1">
      <c r="A2" s="156" t="s">
        <v>747</v>
      </c>
      <c r="B2" s="157"/>
      <c r="C2" s="157"/>
      <c r="D2" s="157"/>
      <c r="E2" s="157"/>
      <c r="F2" s="108"/>
      <c r="G2" s="158" t="s">
        <v>2</v>
      </c>
    </row>
    <row r="3" spans="1:7" s="152" customFormat="1" ht="42" customHeight="1">
      <c r="A3" s="159" t="s">
        <v>252</v>
      </c>
      <c r="B3" s="160" t="s">
        <v>748</v>
      </c>
      <c r="C3" s="161" t="s">
        <v>254</v>
      </c>
      <c r="D3" s="160" t="s">
        <v>749</v>
      </c>
      <c r="E3" s="161" t="s">
        <v>254</v>
      </c>
      <c r="F3" s="123" t="s">
        <v>750</v>
      </c>
      <c r="G3" s="123" t="s">
        <v>257</v>
      </c>
    </row>
    <row r="4" spans="1:12" ht="24.75" customHeight="1">
      <c r="A4" s="162" t="s">
        <v>751</v>
      </c>
      <c r="B4" s="163">
        <v>142</v>
      </c>
      <c r="C4" s="163"/>
      <c r="D4" s="163"/>
      <c r="E4" s="163"/>
      <c r="F4" s="164">
        <f>D4/B4</f>
        <v>0</v>
      </c>
      <c r="G4" s="165"/>
      <c r="H4" s="152"/>
      <c r="I4" s="152"/>
      <c r="J4" s="152"/>
      <c r="K4" s="152"/>
      <c r="L4" s="152"/>
    </row>
    <row r="5" spans="1:12" ht="24.75" customHeight="1">
      <c r="A5" s="162" t="s">
        <v>752</v>
      </c>
      <c r="B5" s="163">
        <v>142</v>
      </c>
      <c r="C5" s="163"/>
      <c r="D5" s="163"/>
      <c r="E5" s="163"/>
      <c r="F5" s="164">
        <f aca="true" t="shared" si="0" ref="F5:F26">D5/B5</f>
        <v>0</v>
      </c>
      <c r="G5" s="165"/>
      <c r="H5" s="152"/>
      <c r="I5" s="152"/>
      <c r="J5" s="152"/>
      <c r="K5" s="152"/>
      <c r="L5" s="152"/>
    </row>
    <row r="6" spans="1:12" ht="24.75" customHeight="1">
      <c r="A6" s="162" t="s">
        <v>753</v>
      </c>
      <c r="B6" s="163">
        <v>142</v>
      </c>
      <c r="C6" s="163"/>
      <c r="D6" s="163"/>
      <c r="E6" s="163"/>
      <c r="F6" s="164">
        <f t="shared" si="0"/>
        <v>0</v>
      </c>
      <c r="G6" s="165"/>
      <c r="H6" s="152"/>
      <c r="I6" s="152"/>
      <c r="J6" s="152"/>
      <c r="K6" s="152"/>
      <c r="L6" s="152"/>
    </row>
    <row r="7" spans="1:12" ht="24.75" customHeight="1">
      <c r="A7" s="162" t="s">
        <v>754</v>
      </c>
      <c r="B7" s="163"/>
      <c r="C7" s="163"/>
      <c r="D7" s="163"/>
      <c r="E7" s="163"/>
      <c r="F7" s="164" t="e">
        <f t="shared" si="0"/>
        <v>#DIV/0!</v>
      </c>
      <c r="G7" s="165"/>
      <c r="H7" s="152"/>
      <c r="I7" s="152"/>
      <c r="J7" s="152"/>
      <c r="K7" s="152"/>
      <c r="L7" s="152"/>
    </row>
    <row r="8" spans="1:12" ht="24.75" customHeight="1">
      <c r="A8" s="162" t="s">
        <v>755</v>
      </c>
      <c r="B8" s="163"/>
      <c r="C8" s="163"/>
      <c r="D8" s="163"/>
      <c r="E8" s="163"/>
      <c r="F8" s="164" t="e">
        <f t="shared" si="0"/>
        <v>#DIV/0!</v>
      </c>
      <c r="G8" s="165"/>
      <c r="H8" s="152"/>
      <c r="I8" s="152"/>
      <c r="J8" s="152"/>
      <c r="K8" s="152"/>
      <c r="L8" s="152"/>
    </row>
    <row r="9" spans="1:12" ht="24.75" customHeight="1">
      <c r="A9" s="162" t="s">
        <v>756</v>
      </c>
      <c r="B9" s="163"/>
      <c r="C9" s="163"/>
      <c r="D9" s="163"/>
      <c r="E9" s="163"/>
      <c r="F9" s="164" t="e">
        <f t="shared" si="0"/>
        <v>#DIV/0!</v>
      </c>
      <c r="G9" s="165"/>
      <c r="H9" s="152"/>
      <c r="I9" s="152"/>
      <c r="J9" s="152"/>
      <c r="K9" s="152"/>
      <c r="L9" s="152"/>
    </row>
    <row r="10" spans="1:12" ht="24.75" customHeight="1">
      <c r="A10" s="162" t="s">
        <v>757</v>
      </c>
      <c r="B10" s="166">
        <v>900</v>
      </c>
      <c r="C10" s="166">
        <v>900</v>
      </c>
      <c r="D10" s="166">
        <v>9850</v>
      </c>
      <c r="E10" s="166">
        <v>9850</v>
      </c>
      <c r="F10" s="164">
        <f t="shared" si="0"/>
        <v>10.944444444444445</v>
      </c>
      <c r="G10" s="165"/>
      <c r="H10" s="152"/>
      <c r="I10" s="152"/>
      <c r="J10" s="152"/>
      <c r="K10" s="152"/>
      <c r="L10" s="152"/>
    </row>
    <row r="11" spans="1:7" ht="24.75" customHeight="1">
      <c r="A11" s="162" t="s">
        <v>758</v>
      </c>
      <c r="B11" s="167">
        <v>450</v>
      </c>
      <c r="C11" s="167">
        <v>450</v>
      </c>
      <c r="D11" s="167">
        <v>8800</v>
      </c>
      <c r="E11" s="167">
        <v>8800</v>
      </c>
      <c r="F11" s="164">
        <f t="shared" si="0"/>
        <v>19.555555555555557</v>
      </c>
      <c r="G11" s="168"/>
    </row>
    <row r="12" spans="1:7" ht="67.5" customHeight="1">
      <c r="A12" s="162" t="s">
        <v>759</v>
      </c>
      <c r="B12" s="167">
        <v>450</v>
      </c>
      <c r="C12" s="167">
        <v>450</v>
      </c>
      <c r="D12" s="167">
        <v>8800</v>
      </c>
      <c r="E12" s="167">
        <v>8800</v>
      </c>
      <c r="F12" s="164">
        <f t="shared" si="0"/>
        <v>19.555555555555557</v>
      </c>
      <c r="G12" s="168"/>
    </row>
    <row r="13" spans="1:7" ht="24.75" customHeight="1">
      <c r="A13" s="162" t="s">
        <v>760</v>
      </c>
      <c r="B13" s="167"/>
      <c r="C13" s="167"/>
      <c r="D13" s="167"/>
      <c r="E13" s="167"/>
      <c r="F13" s="164" t="e">
        <f t="shared" si="0"/>
        <v>#DIV/0!</v>
      </c>
      <c r="G13" s="168"/>
    </row>
    <row r="14" spans="1:7" ht="34.5" customHeight="1">
      <c r="A14" s="162" t="s">
        <v>761</v>
      </c>
      <c r="B14" s="167"/>
      <c r="C14" s="167"/>
      <c r="D14" s="167"/>
      <c r="E14" s="167"/>
      <c r="F14" s="164" t="e">
        <f t="shared" si="0"/>
        <v>#DIV/0!</v>
      </c>
      <c r="G14" s="168"/>
    </row>
    <row r="15" spans="1:12" s="28" customFormat="1" ht="24.75" customHeight="1">
      <c r="A15" s="162" t="s">
        <v>762</v>
      </c>
      <c r="B15" s="167"/>
      <c r="C15" s="167"/>
      <c r="D15" s="167">
        <v>1000</v>
      </c>
      <c r="E15" s="167">
        <v>1000</v>
      </c>
      <c r="F15" s="164" t="e">
        <f t="shared" si="0"/>
        <v>#DIV/0!</v>
      </c>
      <c r="G15" s="168"/>
      <c r="H15" s="29"/>
      <c r="I15" s="29"/>
      <c r="J15" s="29"/>
      <c r="K15" s="29"/>
      <c r="L15" s="29"/>
    </row>
    <row r="16" spans="1:7" s="28" customFormat="1" ht="24.75" customHeight="1">
      <c r="A16" s="162" t="s">
        <v>763</v>
      </c>
      <c r="B16" s="167"/>
      <c r="C16" s="167"/>
      <c r="D16" s="167">
        <v>1000</v>
      </c>
      <c r="E16" s="167">
        <v>1000</v>
      </c>
      <c r="F16" s="164" t="e">
        <f t="shared" si="0"/>
        <v>#DIV/0!</v>
      </c>
      <c r="G16" s="169"/>
    </row>
    <row r="17" spans="1:7" s="28" customFormat="1" ht="24.75" customHeight="1">
      <c r="A17" s="162" t="s">
        <v>764</v>
      </c>
      <c r="B17" s="167"/>
      <c r="C17" s="167"/>
      <c r="D17" s="167">
        <v>50</v>
      </c>
      <c r="E17" s="167">
        <v>50</v>
      </c>
      <c r="F17" s="164" t="e">
        <f t="shared" si="0"/>
        <v>#DIV/0!</v>
      </c>
      <c r="G17" s="169"/>
    </row>
    <row r="18" spans="1:7" s="28" customFormat="1" ht="24.75" customHeight="1">
      <c r="A18" s="162" t="s">
        <v>765</v>
      </c>
      <c r="B18" s="167">
        <v>450</v>
      </c>
      <c r="C18" s="167">
        <v>450</v>
      </c>
      <c r="D18" s="167"/>
      <c r="E18" s="167"/>
      <c r="F18" s="164">
        <f t="shared" si="0"/>
        <v>0</v>
      </c>
      <c r="G18" s="169"/>
    </row>
    <row r="19" spans="1:7" s="28" customFormat="1" ht="24.75" customHeight="1">
      <c r="A19" s="162" t="s">
        <v>766</v>
      </c>
      <c r="B19" s="167">
        <v>450</v>
      </c>
      <c r="C19" s="167">
        <v>450</v>
      </c>
      <c r="D19" s="167"/>
      <c r="E19" s="167"/>
      <c r="F19" s="164">
        <f t="shared" si="0"/>
        <v>0</v>
      </c>
      <c r="G19" s="169"/>
    </row>
    <row r="20" spans="1:7" s="28" customFormat="1" ht="24.75" customHeight="1">
      <c r="A20" s="162" t="s">
        <v>767</v>
      </c>
      <c r="B20" s="167"/>
      <c r="C20" s="167"/>
      <c r="D20" s="167"/>
      <c r="E20" s="167"/>
      <c r="F20" s="164" t="e">
        <f t="shared" si="0"/>
        <v>#DIV/0!</v>
      </c>
      <c r="G20" s="169"/>
    </row>
    <row r="21" spans="1:7" s="28" customFormat="1" ht="24.75" customHeight="1">
      <c r="A21" s="162" t="s">
        <v>768</v>
      </c>
      <c r="B21" s="167">
        <v>15</v>
      </c>
      <c r="C21" s="167"/>
      <c r="D21" s="167">
        <v>124</v>
      </c>
      <c r="E21" s="167"/>
      <c r="F21" s="164">
        <f t="shared" si="0"/>
        <v>8.266666666666667</v>
      </c>
      <c r="G21" s="169"/>
    </row>
    <row r="22" spans="1:7" s="28" customFormat="1" ht="24.75" customHeight="1">
      <c r="A22" s="162" t="s">
        <v>769</v>
      </c>
      <c r="B22" s="167"/>
      <c r="C22" s="167"/>
      <c r="D22" s="167"/>
      <c r="E22" s="167"/>
      <c r="F22" s="164" t="e">
        <f t="shared" si="0"/>
        <v>#DIV/0!</v>
      </c>
      <c r="G22" s="169"/>
    </row>
    <row r="23" spans="1:7" s="28" customFormat="1" ht="24.75" customHeight="1">
      <c r="A23" s="162" t="s">
        <v>770</v>
      </c>
      <c r="B23" s="167"/>
      <c r="C23" s="167"/>
      <c r="D23" s="167"/>
      <c r="E23" s="167"/>
      <c r="F23" s="164" t="e">
        <f t="shared" si="0"/>
        <v>#DIV/0!</v>
      </c>
      <c r="G23" s="169"/>
    </row>
    <row r="24" spans="1:7" s="28" customFormat="1" ht="114" customHeight="1">
      <c r="A24" s="162" t="s">
        <v>771</v>
      </c>
      <c r="B24" s="167">
        <v>15</v>
      </c>
      <c r="C24" s="167"/>
      <c r="D24" s="167">
        <v>124</v>
      </c>
      <c r="E24" s="167"/>
      <c r="F24" s="164">
        <f t="shared" si="0"/>
        <v>8.266666666666667</v>
      </c>
      <c r="G24" s="170"/>
    </row>
    <row r="25" spans="1:7" s="28" customFormat="1" ht="24.75" customHeight="1">
      <c r="A25" s="162" t="s">
        <v>772</v>
      </c>
      <c r="B25" s="167"/>
      <c r="C25" s="167"/>
      <c r="D25" s="167"/>
      <c r="E25" s="167"/>
      <c r="F25" s="164" t="e">
        <f t="shared" si="0"/>
        <v>#DIV/0!</v>
      </c>
      <c r="G25" s="171"/>
    </row>
    <row r="26" spans="1:12" ht="24.75" customHeight="1">
      <c r="A26" s="172" t="s">
        <v>773</v>
      </c>
      <c r="B26" s="173">
        <f>B4+B7+B10+B21</f>
        <v>1057</v>
      </c>
      <c r="C26" s="173">
        <f>C4+C7+C10+C21</f>
        <v>900</v>
      </c>
      <c r="D26" s="173">
        <f>D4+D7+D10+D21</f>
        <v>9974</v>
      </c>
      <c r="E26" s="173">
        <f>E4+E7+E10+E21</f>
        <v>9850</v>
      </c>
      <c r="F26" s="164">
        <f t="shared" si="0"/>
        <v>9.436140018921476</v>
      </c>
      <c r="G26" s="169"/>
      <c r="J26" s="28"/>
      <c r="K26" s="28"/>
      <c r="L26" s="28"/>
    </row>
    <row r="27" spans="1:7" ht="14.25">
      <c r="A27" s="28"/>
      <c r="B27" s="174"/>
      <c r="C27" s="174"/>
      <c r="D27" s="174"/>
      <c r="E27" s="174"/>
      <c r="F27" s="28"/>
      <c r="G27" s="175"/>
    </row>
    <row r="28" spans="1:7" ht="14.25">
      <c r="A28" s="28"/>
      <c r="B28" s="174"/>
      <c r="C28" s="174"/>
      <c r="D28" s="174"/>
      <c r="E28" s="174"/>
      <c r="F28" s="28"/>
      <c r="G28" s="175"/>
    </row>
    <row r="29" spans="1:7" ht="14.25">
      <c r="A29" s="28"/>
      <c r="B29" s="174"/>
      <c r="C29" s="174"/>
      <c r="D29" s="174"/>
      <c r="E29" s="174"/>
      <c r="F29" s="28"/>
      <c r="G29" s="175"/>
    </row>
    <row r="30" ht="14.25">
      <c r="G30" s="175"/>
    </row>
    <row r="31" ht="14.25">
      <c r="G31" s="176"/>
    </row>
    <row r="32" ht="14.25">
      <c r="G32" s="176"/>
    </row>
    <row r="33" ht="14.25">
      <c r="G33" s="176"/>
    </row>
  </sheetData>
  <sheetProtection/>
  <mergeCells count="1">
    <mergeCell ref="A1:G1"/>
  </mergeCells>
  <printOptions horizontalCentered="1"/>
  <pageMargins left="0.51" right="0.31" top="0.63" bottom="0.71" header="0.31" footer="0.47"/>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P20"/>
  <sheetViews>
    <sheetView workbookViewId="0" topLeftCell="A1">
      <selection activeCell="A2" sqref="A2:B2"/>
    </sheetView>
  </sheetViews>
  <sheetFormatPr defaultColWidth="9.00390625" defaultRowHeight="14.25"/>
  <cols>
    <col min="1" max="1" width="25.875" style="130" customWidth="1"/>
    <col min="2" max="2" width="14.25390625" style="130" customWidth="1"/>
    <col min="3" max="3" width="14.875" style="130" customWidth="1"/>
    <col min="4" max="4" width="16.25390625" style="130" customWidth="1"/>
    <col min="5" max="5" width="15.875" style="130" customWidth="1"/>
    <col min="6" max="16" width="9.00390625" style="130" customWidth="1"/>
  </cols>
  <sheetData>
    <row r="1" spans="1:10" ht="20.25">
      <c r="A1" s="131" t="s">
        <v>774</v>
      </c>
      <c r="B1" s="131"/>
      <c r="C1" s="131"/>
      <c r="D1" s="131"/>
      <c r="E1" s="131"/>
      <c r="F1" s="131"/>
      <c r="G1" s="131"/>
      <c r="H1" s="131"/>
      <c r="I1" s="131"/>
      <c r="J1" s="131"/>
    </row>
    <row r="2" spans="1:10" ht="19.5" customHeight="1">
      <c r="A2" s="145" t="s">
        <v>775</v>
      </c>
      <c r="B2" s="146"/>
      <c r="C2" s="151"/>
      <c r="D2" s="151"/>
      <c r="E2" s="151"/>
      <c r="F2" s="151"/>
      <c r="G2" s="148" t="s">
        <v>2</v>
      </c>
      <c r="H2" s="149"/>
      <c r="I2" s="149"/>
      <c r="J2" s="150"/>
    </row>
    <row r="3" spans="1:16" s="129" customFormat="1" ht="57">
      <c r="A3" s="137" t="s">
        <v>776</v>
      </c>
      <c r="B3" s="137" t="s">
        <v>99</v>
      </c>
      <c r="C3" s="137" t="s">
        <v>777</v>
      </c>
      <c r="D3" s="137" t="s">
        <v>778</v>
      </c>
      <c r="E3" s="137" t="s">
        <v>779</v>
      </c>
      <c r="F3" s="137" t="s">
        <v>780</v>
      </c>
      <c r="G3" s="137" t="s">
        <v>781</v>
      </c>
      <c r="H3" s="137" t="s">
        <v>782</v>
      </c>
      <c r="I3" s="137" t="s">
        <v>783</v>
      </c>
      <c r="J3" s="137" t="s">
        <v>784</v>
      </c>
      <c r="K3" s="144"/>
      <c r="L3" s="144"/>
      <c r="M3" s="144"/>
      <c r="N3" s="144"/>
      <c r="O3" s="144"/>
      <c r="P3" s="144"/>
    </row>
    <row r="4" spans="1:16" s="129" customFormat="1" ht="18" customHeight="1">
      <c r="A4" s="137" t="s">
        <v>785</v>
      </c>
      <c r="B4" s="138">
        <v>22375.533961</v>
      </c>
      <c r="C4" s="138">
        <v>7307.168065000001</v>
      </c>
      <c r="D4" s="138">
        <v>4077.064</v>
      </c>
      <c r="E4" s="138">
        <v>10991.301895999999</v>
      </c>
      <c r="F4" s="137"/>
      <c r="G4" s="137"/>
      <c r="H4" s="137"/>
      <c r="I4" s="137"/>
      <c r="J4" s="137"/>
      <c r="K4" s="144"/>
      <c r="L4" s="144"/>
      <c r="M4" s="144"/>
      <c r="N4" s="144"/>
      <c r="O4" s="144"/>
      <c r="P4" s="144"/>
    </row>
    <row r="5" spans="1:10" ht="18" customHeight="1">
      <c r="A5" s="141" t="s">
        <v>786</v>
      </c>
      <c r="B5" s="140">
        <v>13286.333329000001</v>
      </c>
      <c r="C5" s="140">
        <v>4100.651445</v>
      </c>
      <c r="D5" s="140">
        <v>1230.3</v>
      </c>
      <c r="E5" s="140">
        <v>7955.381884</v>
      </c>
      <c r="F5" s="141"/>
      <c r="G5" s="141"/>
      <c r="H5" s="141"/>
      <c r="I5" s="141"/>
      <c r="J5" s="141"/>
    </row>
    <row r="6" spans="1:10" ht="18" customHeight="1">
      <c r="A6" s="141" t="s">
        <v>787</v>
      </c>
      <c r="B6" s="140">
        <v>110.236632</v>
      </c>
      <c r="C6" s="140">
        <v>14.31662</v>
      </c>
      <c r="D6" s="140">
        <v>83</v>
      </c>
      <c r="E6" s="140">
        <v>12.920012</v>
      </c>
      <c r="F6" s="141"/>
      <c r="G6" s="141"/>
      <c r="H6" s="141"/>
      <c r="I6" s="141"/>
      <c r="J6" s="141"/>
    </row>
    <row r="7" spans="1:10" ht="18" customHeight="1">
      <c r="A7" s="141" t="s">
        <v>788</v>
      </c>
      <c r="B7" s="140">
        <v>5849.764</v>
      </c>
      <c r="C7" s="140">
        <v>86</v>
      </c>
      <c r="D7" s="140">
        <v>2763.764</v>
      </c>
      <c r="E7" s="140">
        <v>3000</v>
      </c>
      <c r="F7" s="141"/>
      <c r="G7" s="141"/>
      <c r="H7" s="141"/>
      <c r="I7" s="141"/>
      <c r="J7" s="141"/>
    </row>
    <row r="8" spans="1:10" ht="18" customHeight="1">
      <c r="A8" s="141" t="s">
        <v>789</v>
      </c>
      <c r="B8" s="141">
        <v>0</v>
      </c>
      <c r="C8" s="141">
        <v>0</v>
      </c>
      <c r="D8" s="141">
        <v>0</v>
      </c>
      <c r="E8" s="141">
        <v>0</v>
      </c>
      <c r="F8" s="141" t="s">
        <v>790</v>
      </c>
      <c r="G8" s="141" t="s">
        <v>790</v>
      </c>
      <c r="H8" s="141" t="s">
        <v>790</v>
      </c>
      <c r="I8" s="141" t="s">
        <v>790</v>
      </c>
      <c r="J8" s="141" t="s">
        <v>790</v>
      </c>
    </row>
    <row r="9" spans="1:10" ht="18" customHeight="1">
      <c r="A9" s="141" t="s">
        <v>791</v>
      </c>
      <c r="B9" s="140">
        <v>250.2</v>
      </c>
      <c r="C9" s="140">
        <v>250.2</v>
      </c>
      <c r="D9" s="141">
        <v>0</v>
      </c>
      <c r="E9" s="141">
        <v>0</v>
      </c>
      <c r="F9" s="141"/>
      <c r="G9" s="141"/>
      <c r="H9" s="141"/>
      <c r="I9" s="141"/>
      <c r="J9" s="141"/>
    </row>
    <row r="10" spans="1:10" ht="18" customHeight="1">
      <c r="A10" s="141" t="s">
        <v>792</v>
      </c>
      <c r="B10" s="140">
        <v>133</v>
      </c>
      <c r="C10" s="140">
        <v>110</v>
      </c>
      <c r="D10" s="141">
        <v>0</v>
      </c>
      <c r="E10" s="140">
        <v>23</v>
      </c>
      <c r="F10" s="141"/>
      <c r="G10" s="141" t="s">
        <v>790</v>
      </c>
      <c r="H10" s="141" t="s">
        <v>790</v>
      </c>
      <c r="I10" s="141"/>
      <c r="J10" s="141" t="s">
        <v>790</v>
      </c>
    </row>
    <row r="11" spans="1:10" ht="28.5">
      <c r="A11" s="141" t="s">
        <v>793</v>
      </c>
      <c r="B11" s="141">
        <v>0</v>
      </c>
      <c r="C11" s="141">
        <v>0</v>
      </c>
      <c r="D11" s="141" t="e">
        <v>#VALUE!</v>
      </c>
      <c r="E11" s="141" t="e">
        <v>#VALUE!</v>
      </c>
      <c r="F11" s="141" t="s">
        <v>790</v>
      </c>
      <c r="G11" s="141" t="s">
        <v>790</v>
      </c>
      <c r="H11" s="141" t="s">
        <v>790</v>
      </c>
      <c r="I11" s="141" t="s">
        <v>790</v>
      </c>
      <c r="J11" s="141" t="s">
        <v>790</v>
      </c>
    </row>
    <row r="12" spans="1:10" ht="28.5">
      <c r="A12" s="141" t="s">
        <v>794</v>
      </c>
      <c r="B12" s="141">
        <v>0</v>
      </c>
      <c r="C12" s="141">
        <v>0</v>
      </c>
      <c r="D12" s="141" t="e">
        <v>#VALUE!</v>
      </c>
      <c r="E12" s="141" t="e">
        <v>#VALUE!</v>
      </c>
      <c r="F12" s="141" t="s">
        <v>790</v>
      </c>
      <c r="G12" s="141" t="s">
        <v>790</v>
      </c>
      <c r="H12" s="141" t="s">
        <v>790</v>
      </c>
      <c r="I12" s="141" t="s">
        <v>790</v>
      </c>
      <c r="J12" s="141" t="s">
        <v>790</v>
      </c>
    </row>
    <row r="13" spans="1:16" s="129" customFormat="1" ht="14.25">
      <c r="A13" s="137" t="s">
        <v>795</v>
      </c>
      <c r="B13" s="138">
        <v>19688.758158</v>
      </c>
      <c r="C13" s="138">
        <v>7164.431858</v>
      </c>
      <c r="D13" s="138">
        <v>2617.80992</v>
      </c>
      <c r="E13" s="138">
        <v>9906.51638</v>
      </c>
      <c r="F13" s="137"/>
      <c r="G13" s="137"/>
      <c r="H13" s="137"/>
      <c r="I13" s="137"/>
      <c r="J13" s="137"/>
      <c r="K13" s="144"/>
      <c r="L13" s="144"/>
      <c r="M13" s="144"/>
      <c r="N13" s="144"/>
      <c r="O13" s="144"/>
      <c r="P13" s="144"/>
    </row>
    <row r="14" spans="1:10" ht="28.5">
      <c r="A14" s="141" t="s">
        <v>796</v>
      </c>
      <c r="B14" s="140">
        <v>19571.158158000002</v>
      </c>
      <c r="C14" s="140">
        <v>7074.431858</v>
      </c>
      <c r="D14" s="140">
        <v>2613.70992</v>
      </c>
      <c r="E14" s="140">
        <v>9883.01638</v>
      </c>
      <c r="F14" s="141"/>
      <c r="G14" s="141"/>
      <c r="H14" s="141"/>
      <c r="I14" s="141"/>
      <c r="J14" s="141"/>
    </row>
    <row r="15" spans="1:10" ht="14.25">
      <c r="A15" s="141" t="s">
        <v>797</v>
      </c>
      <c r="B15" s="141">
        <v>0</v>
      </c>
      <c r="C15" s="141">
        <v>0</v>
      </c>
      <c r="D15" s="141">
        <v>0</v>
      </c>
      <c r="E15" s="141">
        <v>0</v>
      </c>
      <c r="F15" s="141"/>
      <c r="G15" s="141"/>
      <c r="H15" s="141"/>
      <c r="I15" s="141"/>
      <c r="J15" s="141"/>
    </row>
    <row r="16" spans="1:10" ht="14.25">
      <c r="A16" s="141" t="s">
        <v>798</v>
      </c>
      <c r="B16" s="140">
        <v>39.6</v>
      </c>
      <c r="C16" s="140">
        <v>12</v>
      </c>
      <c r="D16" s="140">
        <v>4.1</v>
      </c>
      <c r="E16" s="140">
        <v>23.5</v>
      </c>
      <c r="F16" s="141"/>
      <c r="G16" s="141" t="s">
        <v>790</v>
      </c>
      <c r="H16" s="141" t="s">
        <v>790</v>
      </c>
      <c r="I16" s="141"/>
      <c r="J16" s="141" t="s">
        <v>790</v>
      </c>
    </row>
    <row r="17" spans="1:10" ht="28.5">
      <c r="A17" s="141" t="s">
        <v>799</v>
      </c>
      <c r="B17" s="141">
        <v>0</v>
      </c>
      <c r="C17" s="141">
        <v>0</v>
      </c>
      <c r="D17" s="141" t="e">
        <v>#VALUE!</v>
      </c>
      <c r="E17" s="141" t="e">
        <v>#VALUE!</v>
      </c>
      <c r="F17" s="141" t="s">
        <v>790</v>
      </c>
      <c r="G17" s="141" t="s">
        <v>790</v>
      </c>
      <c r="H17" s="141" t="s">
        <v>790</v>
      </c>
      <c r="I17" s="141" t="s">
        <v>790</v>
      </c>
      <c r="J17" s="141" t="s">
        <v>790</v>
      </c>
    </row>
    <row r="18" spans="1:10" ht="28.5">
      <c r="A18" s="141" t="s">
        <v>800</v>
      </c>
      <c r="B18" s="141">
        <v>0</v>
      </c>
      <c r="C18" s="141">
        <v>0</v>
      </c>
      <c r="D18" s="141" t="e">
        <v>#VALUE!</v>
      </c>
      <c r="E18" s="141" t="e">
        <v>#VALUE!</v>
      </c>
      <c r="F18" s="141" t="s">
        <v>790</v>
      </c>
      <c r="G18" s="141" t="s">
        <v>790</v>
      </c>
      <c r="H18" s="141" t="s">
        <v>790</v>
      </c>
      <c r="I18" s="141" t="s">
        <v>790</v>
      </c>
      <c r="J18" s="141" t="s">
        <v>790</v>
      </c>
    </row>
    <row r="19" spans="1:16" s="129" customFormat="1" ht="19.5" customHeight="1">
      <c r="A19" s="137" t="s">
        <v>801</v>
      </c>
      <c r="B19" s="138">
        <v>2686.775803</v>
      </c>
      <c r="C19" s="138">
        <v>142.736207</v>
      </c>
      <c r="D19" s="138">
        <v>1459.2540800000002</v>
      </c>
      <c r="E19" s="138">
        <v>1084.785516</v>
      </c>
      <c r="F19" s="137"/>
      <c r="G19" s="137"/>
      <c r="H19" s="137"/>
      <c r="I19" s="137"/>
      <c r="J19" s="137"/>
      <c r="K19" s="144"/>
      <c r="L19" s="144"/>
      <c r="M19" s="144"/>
      <c r="N19" s="144"/>
      <c r="O19" s="144"/>
      <c r="P19" s="144"/>
    </row>
    <row r="20" spans="1:16" s="129" customFormat="1" ht="19.5" customHeight="1">
      <c r="A20" s="137" t="s">
        <v>802</v>
      </c>
      <c r="B20" s="138">
        <v>19757.441053</v>
      </c>
      <c r="C20" s="138">
        <v>3884.4739</v>
      </c>
      <c r="D20" s="138">
        <v>8817.596563</v>
      </c>
      <c r="E20" s="138">
        <v>7055.37059</v>
      </c>
      <c r="F20" s="137"/>
      <c r="G20" s="137"/>
      <c r="H20" s="137"/>
      <c r="I20" s="137"/>
      <c r="J20" s="137"/>
      <c r="K20" s="144"/>
      <c r="L20" s="144"/>
      <c r="M20" s="144"/>
      <c r="N20" s="144"/>
      <c r="O20" s="144"/>
      <c r="P20" s="144"/>
    </row>
  </sheetData>
  <sheetProtection/>
  <mergeCells count="3">
    <mergeCell ref="A1:J1"/>
    <mergeCell ref="A2:B2"/>
    <mergeCell ref="G2:J2"/>
  </mergeCells>
  <printOptions horizontalCentered="1"/>
  <pageMargins left="0.22" right="0.18" top="0.71" bottom="0.59" header="0.51" footer="0.28"/>
  <pageSetup orientation="landscape" paperSize="9"/>
</worksheet>
</file>

<file path=xl/worksheets/sheet16.xml><?xml version="1.0" encoding="utf-8"?>
<worksheet xmlns="http://schemas.openxmlformats.org/spreadsheetml/2006/main" xmlns:r="http://schemas.openxmlformats.org/officeDocument/2006/relationships">
  <dimension ref="A1:R14"/>
  <sheetViews>
    <sheetView workbookViewId="0" topLeftCell="A1">
      <selection activeCell="A2" sqref="A2:B2"/>
    </sheetView>
  </sheetViews>
  <sheetFormatPr defaultColWidth="9.00390625" defaultRowHeight="14.25"/>
  <cols>
    <col min="1" max="1" width="22.25390625" style="0" customWidth="1"/>
    <col min="2" max="2" width="13.75390625" style="0" customWidth="1"/>
    <col min="3" max="3" width="15.375" style="0" customWidth="1"/>
    <col min="4" max="4" width="15.00390625" style="0" customWidth="1"/>
    <col min="5" max="5" width="17.00390625" style="0" customWidth="1"/>
    <col min="6" max="10" width="7.875" style="0" customWidth="1"/>
  </cols>
  <sheetData>
    <row r="1" spans="1:10" ht="27.75" customHeight="1">
      <c r="A1" s="131" t="s">
        <v>803</v>
      </c>
      <c r="B1" s="131"/>
      <c r="C1" s="131"/>
      <c r="D1" s="131"/>
      <c r="E1" s="131"/>
      <c r="F1" s="131"/>
      <c r="G1" s="131"/>
      <c r="H1" s="131"/>
      <c r="I1" s="131"/>
      <c r="J1" s="131"/>
    </row>
    <row r="2" spans="1:10" ht="28.5" customHeight="1">
      <c r="A2" s="145" t="s">
        <v>804</v>
      </c>
      <c r="B2" s="146"/>
      <c r="C2" s="147"/>
      <c r="D2" s="147"/>
      <c r="E2" s="147"/>
      <c r="F2" s="147"/>
      <c r="G2" s="148" t="s">
        <v>2</v>
      </c>
      <c r="H2" s="149"/>
      <c r="I2" s="149"/>
      <c r="J2" s="150"/>
    </row>
    <row r="3" spans="1:18" s="129" customFormat="1" ht="57">
      <c r="A3" s="137" t="s">
        <v>776</v>
      </c>
      <c r="B3" s="137" t="s">
        <v>99</v>
      </c>
      <c r="C3" s="137" t="s">
        <v>777</v>
      </c>
      <c r="D3" s="137" t="s">
        <v>778</v>
      </c>
      <c r="E3" s="137" t="s">
        <v>779</v>
      </c>
      <c r="F3" s="137" t="s">
        <v>780</v>
      </c>
      <c r="G3" s="137" t="s">
        <v>781</v>
      </c>
      <c r="H3" s="137" t="s">
        <v>782</v>
      </c>
      <c r="I3" s="137" t="s">
        <v>783</v>
      </c>
      <c r="J3" s="137" t="s">
        <v>784</v>
      </c>
      <c r="K3" s="144"/>
      <c r="L3" s="144"/>
      <c r="M3" s="144"/>
      <c r="N3" s="144"/>
      <c r="O3" s="144"/>
      <c r="P3" s="144"/>
      <c r="Q3" s="144"/>
      <c r="R3" s="144"/>
    </row>
    <row r="4" spans="1:18" s="129" customFormat="1" ht="30.75" customHeight="1">
      <c r="A4" s="137" t="s">
        <v>128</v>
      </c>
      <c r="B4" s="138">
        <v>22375.533961</v>
      </c>
      <c r="C4" s="138">
        <v>7307.168065000001</v>
      </c>
      <c r="D4" s="138">
        <v>4077.064</v>
      </c>
      <c r="E4" s="138">
        <v>10991.301895999999</v>
      </c>
      <c r="F4" s="137"/>
      <c r="G4" s="137"/>
      <c r="H4" s="137"/>
      <c r="I4" s="137"/>
      <c r="J4" s="137"/>
      <c r="K4" s="144"/>
      <c r="L4" s="144"/>
      <c r="M4" s="144"/>
      <c r="N4" s="144"/>
      <c r="O4" s="144"/>
      <c r="P4" s="144"/>
      <c r="Q4" s="144"/>
      <c r="R4" s="144"/>
    </row>
    <row r="5" spans="1:18" ht="30.75" customHeight="1">
      <c r="A5" s="141" t="s">
        <v>786</v>
      </c>
      <c r="B5" s="140">
        <v>13286.333329000001</v>
      </c>
      <c r="C5" s="140">
        <v>4100.651445</v>
      </c>
      <c r="D5" s="140">
        <v>1230.3</v>
      </c>
      <c r="E5" s="140">
        <v>7955.381884</v>
      </c>
      <c r="F5" s="141"/>
      <c r="G5" s="141"/>
      <c r="H5" s="141"/>
      <c r="I5" s="141"/>
      <c r="J5" s="141"/>
      <c r="K5" s="130"/>
      <c r="L5" s="130"/>
      <c r="M5" s="130"/>
      <c r="N5" s="130"/>
      <c r="O5" s="130"/>
      <c r="P5" s="130"/>
      <c r="Q5" s="130"/>
      <c r="R5" s="130"/>
    </row>
    <row r="6" spans="1:18" ht="30.75" customHeight="1">
      <c r="A6" s="141" t="s">
        <v>787</v>
      </c>
      <c r="B6" s="140">
        <v>110.236632</v>
      </c>
      <c r="C6" s="140">
        <v>14.31662</v>
      </c>
      <c r="D6" s="140">
        <v>83</v>
      </c>
      <c r="E6" s="140">
        <v>12.920012</v>
      </c>
      <c r="F6" s="141"/>
      <c r="G6" s="141"/>
      <c r="H6" s="141"/>
      <c r="I6" s="141"/>
      <c r="J6" s="141"/>
      <c r="K6" s="130"/>
      <c r="L6" s="130"/>
      <c r="M6" s="130"/>
      <c r="N6" s="130"/>
      <c r="O6" s="130"/>
      <c r="P6" s="130"/>
      <c r="Q6" s="130"/>
      <c r="R6" s="130"/>
    </row>
    <row r="7" spans="1:18" ht="30.75" customHeight="1">
      <c r="A7" s="141" t="s">
        <v>788</v>
      </c>
      <c r="B7" s="140">
        <v>5849.764</v>
      </c>
      <c r="C7" s="140">
        <v>86</v>
      </c>
      <c r="D7" s="140">
        <v>2763.764</v>
      </c>
      <c r="E7" s="140">
        <v>3000</v>
      </c>
      <c r="F7" s="141"/>
      <c r="G7" s="141"/>
      <c r="H7" s="141"/>
      <c r="I7" s="141"/>
      <c r="J7" s="141"/>
      <c r="K7" s="130"/>
      <c r="L7" s="130"/>
      <c r="M7" s="130"/>
      <c r="N7" s="130"/>
      <c r="O7" s="130"/>
      <c r="P7" s="130"/>
      <c r="Q7" s="130"/>
      <c r="R7" s="130"/>
    </row>
    <row r="8" spans="1:18" ht="30.75" customHeight="1">
      <c r="A8" s="141" t="s">
        <v>789</v>
      </c>
      <c r="B8" s="141">
        <v>0</v>
      </c>
      <c r="C8" s="141">
        <v>0</v>
      </c>
      <c r="D8" s="141">
        <v>0</v>
      </c>
      <c r="E8" s="141">
        <v>0</v>
      </c>
      <c r="F8" s="141" t="s">
        <v>790</v>
      </c>
      <c r="G8" s="141" t="s">
        <v>790</v>
      </c>
      <c r="H8" s="141" t="s">
        <v>790</v>
      </c>
      <c r="I8" s="141" t="s">
        <v>790</v>
      </c>
      <c r="J8" s="141" t="s">
        <v>790</v>
      </c>
      <c r="K8" s="130"/>
      <c r="L8" s="130"/>
      <c r="M8" s="130"/>
      <c r="N8" s="130"/>
      <c r="O8" s="130"/>
      <c r="P8" s="130"/>
      <c r="Q8" s="130"/>
      <c r="R8" s="130"/>
    </row>
    <row r="9" spans="1:18" ht="30.75" customHeight="1">
      <c r="A9" s="141" t="s">
        <v>791</v>
      </c>
      <c r="B9" s="140">
        <v>250.2</v>
      </c>
      <c r="C9" s="140">
        <v>250.2</v>
      </c>
      <c r="D9" s="141">
        <v>0</v>
      </c>
      <c r="E9" s="141">
        <v>0</v>
      </c>
      <c r="F9" s="141"/>
      <c r="G9" s="141"/>
      <c r="H9" s="141"/>
      <c r="I9" s="141"/>
      <c r="J9" s="141"/>
      <c r="K9" s="130"/>
      <c r="L9" s="130"/>
      <c r="M9" s="130"/>
      <c r="N9" s="130"/>
      <c r="O9" s="130"/>
      <c r="P9" s="130"/>
      <c r="Q9" s="130"/>
      <c r="R9" s="130"/>
    </row>
    <row r="10" spans="1:18" ht="30.75" customHeight="1">
      <c r="A10" s="141" t="s">
        <v>792</v>
      </c>
      <c r="B10" s="140">
        <v>133</v>
      </c>
      <c r="C10" s="140">
        <v>110</v>
      </c>
      <c r="D10" s="141">
        <v>0</v>
      </c>
      <c r="E10" s="140">
        <v>23</v>
      </c>
      <c r="F10" s="141"/>
      <c r="G10" s="141" t="s">
        <v>790</v>
      </c>
      <c r="H10" s="141" t="s">
        <v>790</v>
      </c>
      <c r="I10" s="141"/>
      <c r="J10" s="141" t="s">
        <v>790</v>
      </c>
      <c r="K10" s="130"/>
      <c r="L10" s="130"/>
      <c r="M10" s="130"/>
      <c r="N10" s="130"/>
      <c r="O10" s="130"/>
      <c r="P10" s="130"/>
      <c r="Q10" s="130"/>
      <c r="R10" s="130"/>
    </row>
    <row r="11" spans="1:18" ht="30.75" customHeight="1">
      <c r="A11" s="141" t="s">
        <v>793</v>
      </c>
      <c r="B11" s="141">
        <v>0</v>
      </c>
      <c r="C11" s="141">
        <v>0</v>
      </c>
      <c r="D11" s="141" t="e">
        <v>#VALUE!</v>
      </c>
      <c r="E11" s="141" t="e">
        <v>#VALUE!</v>
      </c>
      <c r="F11" s="141" t="s">
        <v>790</v>
      </c>
      <c r="G11" s="141" t="s">
        <v>790</v>
      </c>
      <c r="H11" s="141" t="s">
        <v>790</v>
      </c>
      <c r="I11" s="141" t="s">
        <v>790</v>
      </c>
      <c r="J11" s="141" t="s">
        <v>790</v>
      </c>
      <c r="K11" s="130"/>
      <c r="L11" s="130"/>
      <c r="M11" s="130"/>
      <c r="N11" s="130"/>
      <c r="O11" s="130"/>
      <c r="P11" s="130"/>
      <c r="Q11" s="130"/>
      <c r="R11" s="130"/>
    </row>
    <row r="12" spans="1:18" ht="30.75" customHeight="1">
      <c r="A12" s="141" t="s">
        <v>794</v>
      </c>
      <c r="B12" s="141">
        <v>0</v>
      </c>
      <c r="C12" s="141">
        <v>0</v>
      </c>
      <c r="D12" s="141" t="e">
        <v>#VALUE!</v>
      </c>
      <c r="E12" s="141" t="e">
        <v>#VALUE!</v>
      </c>
      <c r="F12" s="141" t="s">
        <v>790</v>
      </c>
      <c r="G12" s="141" t="s">
        <v>790</v>
      </c>
      <c r="H12" s="141" t="s">
        <v>790</v>
      </c>
      <c r="I12" s="141" t="s">
        <v>790</v>
      </c>
      <c r="J12" s="141" t="s">
        <v>790</v>
      </c>
      <c r="K12" s="130"/>
      <c r="L12" s="130"/>
      <c r="M12" s="130"/>
      <c r="N12" s="130"/>
      <c r="O12" s="130"/>
      <c r="P12" s="130"/>
      <c r="Q12" s="130"/>
      <c r="R12" s="130"/>
    </row>
    <row r="13" spans="1:18" ht="14.25">
      <c r="A13" s="130"/>
      <c r="B13" s="130"/>
      <c r="C13" s="130"/>
      <c r="D13" s="130"/>
      <c r="E13" s="130"/>
      <c r="F13" s="130"/>
      <c r="G13" s="130"/>
      <c r="H13" s="130"/>
      <c r="I13" s="130"/>
      <c r="J13" s="130"/>
      <c r="K13" s="130"/>
      <c r="L13" s="130"/>
      <c r="M13" s="130"/>
      <c r="N13" s="130"/>
      <c r="O13" s="130"/>
      <c r="P13" s="130"/>
      <c r="Q13" s="130"/>
      <c r="R13" s="130"/>
    </row>
    <row r="14" spans="1:18" ht="14.25">
      <c r="A14" s="130"/>
      <c r="B14" s="130"/>
      <c r="C14" s="130"/>
      <c r="D14" s="130"/>
      <c r="E14" s="130"/>
      <c r="F14" s="130"/>
      <c r="G14" s="130"/>
      <c r="H14" s="130"/>
      <c r="I14" s="130"/>
      <c r="J14" s="130"/>
      <c r="K14" s="130"/>
      <c r="L14" s="130"/>
      <c r="M14" s="130"/>
      <c r="N14" s="130"/>
      <c r="O14" s="130"/>
      <c r="P14" s="130"/>
      <c r="Q14" s="130"/>
      <c r="R14" s="130"/>
    </row>
  </sheetData>
  <sheetProtection/>
  <mergeCells count="3">
    <mergeCell ref="A1:J1"/>
    <mergeCell ref="A2:B2"/>
    <mergeCell ref="G2:J2"/>
  </mergeCells>
  <printOptions/>
  <pageMargins left="0.75" right="0.38" top="1" bottom="1" header="0.5" footer="0.5"/>
  <pageSetup orientation="landscape" paperSize="9"/>
</worksheet>
</file>

<file path=xl/worksheets/sheet17.xml><?xml version="1.0" encoding="utf-8"?>
<worksheet xmlns="http://schemas.openxmlformats.org/spreadsheetml/2006/main" xmlns:r="http://schemas.openxmlformats.org/officeDocument/2006/relationships">
  <dimension ref="A1:P9"/>
  <sheetViews>
    <sheetView workbookViewId="0" topLeftCell="A1">
      <selection activeCell="A2" sqref="A2:B2"/>
    </sheetView>
  </sheetViews>
  <sheetFormatPr defaultColWidth="9.00390625" defaultRowHeight="14.25"/>
  <cols>
    <col min="1" max="1" width="25.875" style="0" customWidth="1"/>
    <col min="2" max="2" width="12.125" style="130" customWidth="1"/>
    <col min="3" max="3" width="14.875" style="130" customWidth="1"/>
    <col min="4" max="4" width="14.50390625" style="130" customWidth="1"/>
    <col min="5" max="5" width="14.75390625" style="130" customWidth="1"/>
    <col min="6" max="8" width="7.875" style="130" customWidth="1"/>
    <col min="9" max="9" width="7.375" style="130" customWidth="1"/>
    <col min="10" max="10" width="7.875" style="130" customWidth="1"/>
    <col min="11" max="16" width="9.00390625" style="130" customWidth="1"/>
  </cols>
  <sheetData>
    <row r="1" spans="1:10" ht="33.75" customHeight="1">
      <c r="A1" s="131" t="s">
        <v>805</v>
      </c>
      <c r="B1" s="131"/>
      <c r="C1" s="131"/>
      <c r="D1" s="131"/>
      <c r="E1" s="131"/>
      <c r="F1" s="131"/>
      <c r="G1" s="131"/>
      <c r="H1" s="131"/>
      <c r="I1" s="131"/>
      <c r="J1" s="131"/>
    </row>
    <row r="2" spans="1:10" ht="24" customHeight="1">
      <c r="A2" s="132" t="s">
        <v>806</v>
      </c>
      <c r="B2" s="133"/>
      <c r="C2" s="134"/>
      <c r="D2" s="134"/>
      <c r="E2" s="134"/>
      <c r="F2" s="134"/>
      <c r="G2" s="134"/>
      <c r="H2" s="135" t="s">
        <v>2</v>
      </c>
      <c r="I2" s="142"/>
      <c r="J2" s="143"/>
    </row>
    <row r="3" spans="1:10" s="128" customFormat="1" ht="54">
      <c r="A3" s="136" t="s">
        <v>807</v>
      </c>
      <c r="B3" s="136" t="s">
        <v>99</v>
      </c>
      <c r="C3" s="136" t="s">
        <v>777</v>
      </c>
      <c r="D3" s="136" t="s">
        <v>778</v>
      </c>
      <c r="E3" s="136" t="s">
        <v>779</v>
      </c>
      <c r="F3" s="136" t="s">
        <v>780</v>
      </c>
      <c r="G3" s="136" t="s">
        <v>781</v>
      </c>
      <c r="H3" s="136" t="s">
        <v>782</v>
      </c>
      <c r="I3" s="136" t="s">
        <v>783</v>
      </c>
      <c r="J3" s="136" t="s">
        <v>784</v>
      </c>
    </row>
    <row r="4" spans="1:16" s="129" customFormat="1" ht="36" customHeight="1">
      <c r="A4" s="137" t="s">
        <v>808</v>
      </c>
      <c r="B4" s="138">
        <v>19688.758158</v>
      </c>
      <c r="C4" s="138">
        <v>7164.431858</v>
      </c>
      <c r="D4" s="138">
        <v>2617.80992</v>
      </c>
      <c r="E4" s="138">
        <v>9906.51638</v>
      </c>
      <c r="F4" s="137"/>
      <c r="G4" s="137"/>
      <c r="H4" s="137"/>
      <c r="I4" s="137"/>
      <c r="J4" s="137"/>
      <c r="K4" s="144"/>
      <c r="L4" s="144"/>
      <c r="M4" s="144"/>
      <c r="N4" s="144"/>
      <c r="O4" s="144"/>
      <c r="P4" s="144"/>
    </row>
    <row r="5" spans="1:10" ht="36" customHeight="1">
      <c r="A5" s="139" t="s">
        <v>796</v>
      </c>
      <c r="B5" s="140">
        <v>19571.158158000002</v>
      </c>
      <c r="C5" s="140">
        <v>7074.431858</v>
      </c>
      <c r="D5" s="140">
        <v>2613.70992</v>
      </c>
      <c r="E5" s="140">
        <v>9883.01638</v>
      </c>
      <c r="F5" s="141"/>
      <c r="G5" s="141"/>
      <c r="H5" s="141"/>
      <c r="I5" s="141"/>
      <c r="J5" s="141"/>
    </row>
    <row r="6" spans="1:10" ht="36" customHeight="1">
      <c r="A6" s="139" t="s">
        <v>797</v>
      </c>
      <c r="B6" s="141">
        <v>0</v>
      </c>
      <c r="C6" s="141">
        <v>0</v>
      </c>
      <c r="D6" s="141">
        <v>0</v>
      </c>
      <c r="E6" s="141">
        <v>0</v>
      </c>
      <c r="F6" s="141"/>
      <c r="G6" s="141"/>
      <c r="H6" s="141"/>
      <c r="I6" s="141"/>
      <c r="J6" s="141"/>
    </row>
    <row r="7" spans="1:10" ht="36" customHeight="1">
      <c r="A7" s="139" t="s">
        <v>798</v>
      </c>
      <c r="B7" s="140">
        <v>39.6</v>
      </c>
      <c r="C7" s="140">
        <v>12</v>
      </c>
      <c r="D7" s="140">
        <v>4.1</v>
      </c>
      <c r="E7" s="140">
        <v>23.5</v>
      </c>
      <c r="F7" s="141"/>
      <c r="G7" s="141" t="s">
        <v>790</v>
      </c>
      <c r="H7" s="141" t="s">
        <v>790</v>
      </c>
      <c r="I7" s="141"/>
      <c r="J7" s="141" t="s">
        <v>790</v>
      </c>
    </row>
    <row r="8" spans="1:10" ht="36" customHeight="1">
      <c r="A8" s="139" t="s">
        <v>799</v>
      </c>
      <c r="B8" s="141">
        <v>0</v>
      </c>
      <c r="C8" s="141">
        <v>0</v>
      </c>
      <c r="D8" s="141" t="e">
        <v>#VALUE!</v>
      </c>
      <c r="E8" s="141" t="e">
        <v>#VALUE!</v>
      </c>
      <c r="F8" s="141" t="s">
        <v>790</v>
      </c>
      <c r="G8" s="141" t="s">
        <v>790</v>
      </c>
      <c r="H8" s="141" t="s">
        <v>790</v>
      </c>
      <c r="I8" s="141" t="s">
        <v>790</v>
      </c>
      <c r="J8" s="141" t="s">
        <v>790</v>
      </c>
    </row>
    <row r="9" spans="1:10" ht="36" customHeight="1">
      <c r="A9" s="139" t="s">
        <v>800</v>
      </c>
      <c r="B9" s="141">
        <v>0</v>
      </c>
      <c r="C9" s="141">
        <v>0</v>
      </c>
      <c r="D9" s="141" t="e">
        <v>#VALUE!</v>
      </c>
      <c r="E9" s="141" t="e">
        <v>#VALUE!</v>
      </c>
      <c r="F9" s="141" t="s">
        <v>790</v>
      </c>
      <c r="G9" s="141" t="s">
        <v>790</v>
      </c>
      <c r="H9" s="141" t="s">
        <v>790</v>
      </c>
      <c r="I9" s="141" t="s">
        <v>790</v>
      </c>
      <c r="J9" s="141" t="s">
        <v>790</v>
      </c>
    </row>
  </sheetData>
  <sheetProtection/>
  <mergeCells count="3">
    <mergeCell ref="A1:J1"/>
    <mergeCell ref="A2:B2"/>
    <mergeCell ref="H2:J2"/>
  </mergeCells>
  <printOptions/>
  <pageMargins left="0.75" right="0.75" top="1" bottom="1" header="0.5" footer="0.5"/>
  <pageSetup orientation="landscape" paperSize="9"/>
</worksheet>
</file>

<file path=xl/worksheets/sheet18.xml><?xml version="1.0" encoding="utf-8"?>
<worksheet xmlns="http://schemas.openxmlformats.org/spreadsheetml/2006/main" xmlns:r="http://schemas.openxmlformats.org/officeDocument/2006/relationships">
  <dimension ref="A1:IP11"/>
  <sheetViews>
    <sheetView zoomScaleSheetLayoutView="100" workbookViewId="0" topLeftCell="A1">
      <selection activeCell="B4" sqref="B4"/>
    </sheetView>
  </sheetViews>
  <sheetFormatPr defaultColWidth="9.00390625" defaultRowHeight="14.25"/>
  <cols>
    <col min="1" max="1" width="31.125" style="127" customWidth="1"/>
    <col min="2" max="4" width="31.125" style="112" customWidth="1"/>
    <col min="5" max="16384" width="9.00390625" style="112" customWidth="1"/>
  </cols>
  <sheetData>
    <row r="1" spans="1:250" s="29" customFormat="1" ht="39.75" customHeight="1">
      <c r="A1" s="120" t="s">
        <v>809</v>
      </c>
      <c r="B1" s="120"/>
      <c r="C1" s="120"/>
      <c r="D1" s="120"/>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row>
    <row r="2" spans="1:4" s="119" customFormat="1" ht="30" customHeight="1">
      <c r="A2" s="108" t="s">
        <v>810</v>
      </c>
      <c r="D2" s="122" t="s">
        <v>2</v>
      </c>
    </row>
    <row r="3" spans="1:4" s="119" customFormat="1" ht="39" customHeight="1">
      <c r="A3" s="115" t="s">
        <v>3</v>
      </c>
      <c r="B3" s="123" t="s">
        <v>5</v>
      </c>
      <c r="C3" s="123" t="s">
        <v>749</v>
      </c>
      <c r="D3" s="123" t="s">
        <v>811</v>
      </c>
    </row>
    <row r="4" spans="1:4" s="119" customFormat="1" ht="33.75" customHeight="1">
      <c r="A4" s="124" t="s">
        <v>107</v>
      </c>
      <c r="B4" s="125">
        <v>0</v>
      </c>
      <c r="C4" s="125">
        <v>0</v>
      </c>
      <c r="D4" s="125"/>
    </row>
    <row r="5" spans="1:4" s="119" customFormat="1" ht="33.75" customHeight="1">
      <c r="A5" s="124" t="s">
        <v>108</v>
      </c>
      <c r="B5" s="125">
        <v>0</v>
      </c>
      <c r="C5" s="125">
        <v>0</v>
      </c>
      <c r="D5" s="125"/>
    </row>
    <row r="6" spans="1:4" s="119" customFormat="1" ht="33.75" customHeight="1">
      <c r="A6" s="124" t="s">
        <v>109</v>
      </c>
      <c r="B6" s="125">
        <v>0</v>
      </c>
      <c r="C6" s="125">
        <v>0</v>
      </c>
      <c r="D6" s="125"/>
    </row>
    <row r="7" spans="1:4" s="119" customFormat="1" ht="33.75" customHeight="1">
      <c r="A7" s="124" t="s">
        <v>110</v>
      </c>
      <c r="B7" s="125">
        <v>0</v>
      </c>
      <c r="C7" s="125">
        <v>0</v>
      </c>
      <c r="D7" s="125"/>
    </row>
    <row r="8" spans="1:4" s="119" customFormat="1" ht="33.75" customHeight="1">
      <c r="A8" s="124" t="s">
        <v>111</v>
      </c>
      <c r="B8" s="125">
        <v>0</v>
      </c>
      <c r="C8" s="125">
        <v>0</v>
      </c>
      <c r="D8" s="125"/>
    </row>
    <row r="9" spans="1:4" s="119" customFormat="1" ht="33.75" customHeight="1">
      <c r="A9" s="126" t="s">
        <v>812</v>
      </c>
      <c r="B9" s="126">
        <v>0</v>
      </c>
      <c r="C9" s="126">
        <v>0</v>
      </c>
      <c r="D9" s="126"/>
    </row>
    <row r="10" spans="1:4" s="119" customFormat="1" ht="33.75" customHeight="1">
      <c r="A10" s="126" t="s">
        <v>813</v>
      </c>
      <c r="B10" s="126">
        <v>0</v>
      </c>
      <c r="C10" s="126">
        <v>0</v>
      </c>
      <c r="D10" s="126"/>
    </row>
    <row r="11" s="119" customFormat="1" ht="20.25" customHeight="1">
      <c r="A11" s="127"/>
    </row>
  </sheetData>
  <sheetProtection/>
  <mergeCells count="1">
    <mergeCell ref="A1:D1"/>
  </mergeCells>
  <printOptions horizontalCentered="1"/>
  <pageMargins left="0.39" right="0.12" top="0.79" bottom="0.75" header="0.51" footer="0.51"/>
  <pageSetup orientation="landscape" paperSize="9"/>
</worksheet>
</file>

<file path=xl/worksheets/sheet19.xml><?xml version="1.0" encoding="utf-8"?>
<worksheet xmlns="http://schemas.openxmlformats.org/spreadsheetml/2006/main" xmlns:r="http://schemas.openxmlformats.org/officeDocument/2006/relationships">
  <dimension ref="A1:IP13"/>
  <sheetViews>
    <sheetView workbookViewId="0" topLeftCell="A1">
      <selection activeCell="C8" sqref="C8"/>
    </sheetView>
  </sheetViews>
  <sheetFormatPr defaultColWidth="9.00390625" defaultRowHeight="14.25"/>
  <cols>
    <col min="1" max="1" width="43.00390625" style="112" customWidth="1"/>
    <col min="2" max="4" width="23.875" style="112" customWidth="1"/>
    <col min="5" max="16384" width="9.00390625" style="112" customWidth="1"/>
  </cols>
  <sheetData>
    <row r="1" spans="1:250" s="29" customFormat="1" ht="35.25" customHeight="1">
      <c r="A1" s="120" t="s">
        <v>814</v>
      </c>
      <c r="B1" s="120"/>
      <c r="C1" s="120"/>
      <c r="D1" s="120"/>
      <c r="E1" s="121"/>
      <c r="F1" s="121"/>
      <c r="G1" s="121"/>
      <c r="H1" s="121"/>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row>
    <row r="2" spans="1:4" s="119" customFormat="1" ht="28.5" customHeight="1">
      <c r="A2" s="119" t="s">
        <v>815</v>
      </c>
      <c r="D2" s="122" t="s">
        <v>2</v>
      </c>
    </row>
    <row r="3" s="119" customFormat="1" ht="6.75" customHeight="1">
      <c r="D3" s="122"/>
    </row>
    <row r="4" spans="1:4" s="119" customFormat="1" ht="39" customHeight="1">
      <c r="A4" s="115" t="s">
        <v>34</v>
      </c>
      <c r="B4" s="123" t="s">
        <v>816</v>
      </c>
      <c r="C4" s="123" t="s">
        <v>170</v>
      </c>
      <c r="D4" s="123" t="s">
        <v>811</v>
      </c>
    </row>
    <row r="5" spans="1:4" s="119" customFormat="1" ht="30" customHeight="1">
      <c r="A5" s="124" t="s">
        <v>817</v>
      </c>
      <c r="B5" s="125">
        <v>0</v>
      </c>
      <c r="C5" s="125">
        <v>0</v>
      </c>
      <c r="D5" s="125"/>
    </row>
    <row r="6" spans="1:4" s="119" customFormat="1" ht="30" customHeight="1">
      <c r="A6" s="124" t="s">
        <v>818</v>
      </c>
      <c r="B6" s="125">
        <v>0</v>
      </c>
      <c r="C6" s="125">
        <v>0</v>
      </c>
      <c r="D6" s="125"/>
    </row>
    <row r="7" spans="1:4" s="119" customFormat="1" ht="30" customHeight="1">
      <c r="A7" s="124" t="s">
        <v>819</v>
      </c>
      <c r="B7" s="125">
        <v>0</v>
      </c>
      <c r="C7" s="125">
        <v>0</v>
      </c>
      <c r="D7" s="125"/>
    </row>
    <row r="8" spans="1:4" s="119" customFormat="1" ht="30" customHeight="1">
      <c r="A8" s="124" t="s">
        <v>820</v>
      </c>
      <c r="B8" s="125">
        <v>0</v>
      </c>
      <c r="C8" s="125">
        <v>0</v>
      </c>
      <c r="D8" s="125"/>
    </row>
    <row r="9" spans="1:4" s="119" customFormat="1" ht="30" customHeight="1">
      <c r="A9" s="124" t="s">
        <v>821</v>
      </c>
      <c r="B9" s="125">
        <v>0</v>
      </c>
      <c r="C9" s="125">
        <v>0</v>
      </c>
      <c r="D9" s="125"/>
    </row>
    <row r="10" spans="1:4" s="119" customFormat="1" ht="30" customHeight="1">
      <c r="A10" s="126" t="s">
        <v>822</v>
      </c>
      <c r="B10" s="124">
        <v>0</v>
      </c>
      <c r="C10" s="124">
        <v>0</v>
      </c>
      <c r="D10" s="124"/>
    </row>
    <row r="11" spans="1:4" s="119" customFormat="1" ht="30" customHeight="1">
      <c r="A11" s="124" t="s">
        <v>823</v>
      </c>
      <c r="B11" s="124">
        <v>0</v>
      </c>
      <c r="C11" s="124">
        <v>0</v>
      </c>
      <c r="D11" s="124"/>
    </row>
    <row r="12" spans="1:4" s="119" customFormat="1" ht="30" customHeight="1">
      <c r="A12" s="124" t="s">
        <v>824</v>
      </c>
      <c r="B12" s="124">
        <v>0</v>
      </c>
      <c r="C12" s="124">
        <v>0</v>
      </c>
      <c r="D12" s="124"/>
    </row>
    <row r="13" spans="1:4" s="119" customFormat="1" ht="30" customHeight="1">
      <c r="A13" s="126" t="s">
        <v>825</v>
      </c>
      <c r="B13" s="124">
        <v>0</v>
      </c>
      <c r="C13" s="124">
        <v>0</v>
      </c>
      <c r="D13" s="124"/>
    </row>
    <row r="14" s="119" customFormat="1" ht="20.25" customHeight="1"/>
  </sheetData>
  <sheetProtection/>
  <mergeCells count="1">
    <mergeCell ref="A1:D1"/>
  </mergeCells>
  <printOptions horizontalCentered="1"/>
  <pageMargins left="0.75" right="0.75" top="0.98" bottom="0.98"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F25"/>
  <sheetViews>
    <sheetView workbookViewId="0" topLeftCell="A1">
      <selection activeCell="E4" sqref="E4"/>
    </sheetView>
  </sheetViews>
  <sheetFormatPr defaultColWidth="20.50390625" defaultRowHeight="30" customHeight="1"/>
  <cols>
    <col min="1" max="1" width="32.75390625" style="0" customWidth="1"/>
    <col min="2" max="2" width="19.375" style="0" customWidth="1"/>
    <col min="3" max="3" width="17.25390625" style="0" customWidth="1"/>
    <col min="4" max="4" width="18.75390625" style="420" customWidth="1"/>
    <col min="5" max="5" width="21.125" style="130" customWidth="1"/>
    <col min="6" max="6" width="11.50390625" style="0" customWidth="1"/>
  </cols>
  <sheetData>
    <row r="1" spans="1:6" ht="30" customHeight="1">
      <c r="A1" s="180" t="s">
        <v>32</v>
      </c>
      <c r="B1" s="180"/>
      <c r="C1" s="180"/>
      <c r="D1" s="180"/>
      <c r="E1" s="180"/>
      <c r="F1" s="180"/>
    </row>
    <row r="2" spans="1:6" ht="22.5" customHeight="1">
      <c r="A2" s="129" t="s">
        <v>33</v>
      </c>
      <c r="F2" t="s">
        <v>2</v>
      </c>
    </row>
    <row r="3" spans="1:6" s="144" customFormat="1" ht="18" customHeight="1">
      <c r="A3" s="183" t="s">
        <v>34</v>
      </c>
      <c r="B3" s="183" t="s">
        <v>4</v>
      </c>
      <c r="C3" s="183" t="s">
        <v>35</v>
      </c>
      <c r="D3" s="183" t="s">
        <v>36</v>
      </c>
      <c r="E3" s="183" t="s">
        <v>37</v>
      </c>
      <c r="F3" s="183" t="s">
        <v>8</v>
      </c>
    </row>
    <row r="4" spans="1:6" s="130" customFormat="1" ht="18" customHeight="1">
      <c r="A4" s="415" t="s">
        <v>38</v>
      </c>
      <c r="B4" s="184">
        <f>SUM(B5:B24)</f>
        <v>174889</v>
      </c>
      <c r="C4" s="184">
        <f>SUM(C5:C24)</f>
        <v>171489</v>
      </c>
      <c r="D4" s="189">
        <f>C4/B4*100</f>
        <v>98.05590974846903</v>
      </c>
      <c r="E4" s="421">
        <f>C4/151162*100</f>
        <v>113.44716264669692</v>
      </c>
      <c r="F4" s="184"/>
    </row>
    <row r="5" spans="1:6" ht="18" customHeight="1">
      <c r="A5" s="410" t="s">
        <v>39</v>
      </c>
      <c r="B5" s="184">
        <v>14717</v>
      </c>
      <c r="C5" s="184">
        <v>14388</v>
      </c>
      <c r="D5" s="189">
        <f>C5/B5*100</f>
        <v>97.76449004552559</v>
      </c>
      <c r="E5" s="421">
        <f>C5/13342*100</f>
        <v>107.83990406235947</v>
      </c>
      <c r="F5" s="186"/>
    </row>
    <row r="6" spans="1:6" ht="18" customHeight="1">
      <c r="A6" s="410" t="s">
        <v>40</v>
      </c>
      <c r="B6" s="184">
        <v>168</v>
      </c>
      <c r="C6" s="184">
        <v>168</v>
      </c>
      <c r="D6" s="189">
        <f aca="true" t="shared" si="0" ref="D6:D24">C6/B6*100</f>
        <v>100</v>
      </c>
      <c r="E6" s="421">
        <f>C6/145*100</f>
        <v>115.86206896551725</v>
      </c>
      <c r="F6" s="186"/>
    </row>
    <row r="7" spans="1:6" ht="18" customHeight="1">
      <c r="A7" s="410" t="s">
        <v>41</v>
      </c>
      <c r="B7" s="184">
        <v>5218</v>
      </c>
      <c r="C7" s="184">
        <v>5114</v>
      </c>
      <c r="D7" s="189">
        <f t="shared" si="0"/>
        <v>98.00689919509391</v>
      </c>
      <c r="E7" s="421">
        <f>C7/5717*100</f>
        <v>89.45251005772258</v>
      </c>
      <c r="F7" s="186"/>
    </row>
    <row r="8" spans="1:6" ht="18" customHeight="1">
      <c r="A8" s="410" t="s">
        <v>42</v>
      </c>
      <c r="B8" s="184">
        <v>19270</v>
      </c>
      <c r="C8" s="184">
        <v>19204</v>
      </c>
      <c r="D8" s="189">
        <f t="shared" si="0"/>
        <v>99.65749870264659</v>
      </c>
      <c r="E8" s="421">
        <f>C8/19519*100</f>
        <v>98.38618781699883</v>
      </c>
      <c r="F8" s="186"/>
    </row>
    <row r="9" spans="1:6" ht="18" customHeight="1">
      <c r="A9" s="410" t="s">
        <v>43</v>
      </c>
      <c r="B9" s="184">
        <v>1118</v>
      </c>
      <c r="C9" s="184">
        <v>1118</v>
      </c>
      <c r="D9" s="189">
        <f t="shared" si="0"/>
        <v>100</v>
      </c>
      <c r="E9" s="421">
        <f>C9/976*100</f>
        <v>114.54918032786885</v>
      </c>
      <c r="F9" s="186"/>
    </row>
    <row r="10" spans="1:6" ht="18" customHeight="1">
      <c r="A10" s="410" t="s">
        <v>44</v>
      </c>
      <c r="B10" s="184">
        <v>1601</v>
      </c>
      <c r="C10" s="184">
        <v>1518</v>
      </c>
      <c r="D10" s="189">
        <f t="shared" si="0"/>
        <v>94.8157401623985</v>
      </c>
      <c r="E10" s="421">
        <f>C10/1179*100</f>
        <v>128.7531806615776</v>
      </c>
      <c r="F10" s="186"/>
    </row>
    <row r="11" spans="1:6" ht="18" customHeight="1">
      <c r="A11" s="410" t="s">
        <v>45</v>
      </c>
      <c r="B11" s="184">
        <v>24360</v>
      </c>
      <c r="C11" s="184">
        <v>23996</v>
      </c>
      <c r="D11" s="189">
        <f t="shared" si="0"/>
        <v>98.50574712643679</v>
      </c>
      <c r="E11" s="421">
        <f>C11/29120*100</f>
        <v>82.40384615384615</v>
      </c>
      <c r="F11" s="186"/>
    </row>
    <row r="12" spans="1:6" ht="18" customHeight="1">
      <c r="A12" s="410" t="s">
        <v>46</v>
      </c>
      <c r="B12" s="184">
        <v>10525</v>
      </c>
      <c r="C12" s="184">
        <v>9135</v>
      </c>
      <c r="D12" s="189">
        <f t="shared" si="0"/>
        <v>86.79334916864609</v>
      </c>
      <c r="E12" s="421">
        <f>C12/8810*100</f>
        <v>103.68898978433599</v>
      </c>
      <c r="F12" s="186"/>
    </row>
    <row r="13" spans="1:6" ht="18" customHeight="1">
      <c r="A13" s="410" t="s">
        <v>47</v>
      </c>
      <c r="B13" s="184">
        <v>10811</v>
      </c>
      <c r="C13" s="184">
        <v>10796</v>
      </c>
      <c r="D13" s="189">
        <f t="shared" si="0"/>
        <v>99.86125242808251</v>
      </c>
      <c r="E13" s="421">
        <f>C13/4044*100</f>
        <v>266.9634025717112</v>
      </c>
      <c r="F13" s="186"/>
    </row>
    <row r="14" spans="1:6" ht="18" customHeight="1">
      <c r="A14" s="410" t="s">
        <v>48</v>
      </c>
      <c r="B14" s="184">
        <v>11655</v>
      </c>
      <c r="C14" s="184">
        <v>11595</v>
      </c>
      <c r="D14" s="189">
        <f t="shared" si="0"/>
        <v>99.48519948519949</v>
      </c>
      <c r="E14" s="421">
        <f>C14/4822*100</f>
        <v>240.46038987971795</v>
      </c>
      <c r="F14" s="186"/>
    </row>
    <row r="15" spans="1:6" ht="18" customHeight="1">
      <c r="A15" s="410" t="s">
        <v>49</v>
      </c>
      <c r="B15" s="184">
        <v>58402</v>
      </c>
      <c r="C15" s="184">
        <v>58243</v>
      </c>
      <c r="D15" s="189">
        <f t="shared" si="0"/>
        <v>99.72774904969009</v>
      </c>
      <c r="E15" s="421">
        <f>C15/46320*100</f>
        <v>125.74050086355786</v>
      </c>
      <c r="F15" s="186"/>
    </row>
    <row r="16" spans="1:6" ht="18" customHeight="1">
      <c r="A16" s="410" t="s">
        <v>50</v>
      </c>
      <c r="B16" s="184">
        <v>1190</v>
      </c>
      <c r="C16" s="184">
        <v>1190</v>
      </c>
      <c r="D16" s="189">
        <f t="shared" si="0"/>
        <v>100</v>
      </c>
      <c r="E16" s="421">
        <f>C16/979*100</f>
        <v>121.55260469867211</v>
      </c>
      <c r="F16" s="186"/>
    </row>
    <row r="17" spans="1:6" ht="18" customHeight="1">
      <c r="A17" s="410" t="s">
        <v>51</v>
      </c>
      <c r="B17" s="184">
        <v>1904</v>
      </c>
      <c r="C17" s="184">
        <v>1843</v>
      </c>
      <c r="D17" s="189">
        <f t="shared" si="0"/>
        <v>96.79621848739495</v>
      </c>
      <c r="E17" s="421">
        <f>C17/748*100</f>
        <v>246.3903743315508</v>
      </c>
      <c r="F17" s="186"/>
    </row>
    <row r="18" spans="1:6" ht="18" customHeight="1">
      <c r="A18" s="410" t="s">
        <v>52</v>
      </c>
      <c r="B18" s="184">
        <v>730</v>
      </c>
      <c r="C18" s="184">
        <v>613</v>
      </c>
      <c r="D18" s="189">
        <f t="shared" si="0"/>
        <v>83.97260273972603</v>
      </c>
      <c r="E18" s="421">
        <f>C18/2286*100</f>
        <v>26.815398075240594</v>
      </c>
      <c r="F18" s="186"/>
    </row>
    <row r="19" spans="1:6" ht="18" customHeight="1">
      <c r="A19" s="410" t="s">
        <v>53</v>
      </c>
      <c r="B19" s="184">
        <v>16</v>
      </c>
      <c r="C19" s="184">
        <v>16</v>
      </c>
      <c r="D19" s="189">
        <f t="shared" si="0"/>
        <v>100</v>
      </c>
      <c r="E19" s="421"/>
      <c r="F19" s="186"/>
    </row>
    <row r="20" spans="1:6" ht="18" customHeight="1">
      <c r="A20" s="410" t="s">
        <v>54</v>
      </c>
      <c r="B20" s="184">
        <v>5406</v>
      </c>
      <c r="C20" s="184">
        <v>4931</v>
      </c>
      <c r="D20" s="189">
        <f t="shared" si="0"/>
        <v>91.21346651868294</v>
      </c>
      <c r="E20" s="421">
        <f>C20/4037*100</f>
        <v>122.14515729502105</v>
      </c>
      <c r="F20" s="186"/>
    </row>
    <row r="21" spans="1:6" ht="18" customHeight="1">
      <c r="A21" s="410" t="s">
        <v>55</v>
      </c>
      <c r="B21" s="184">
        <v>5346</v>
      </c>
      <c r="C21" s="184">
        <v>5319</v>
      </c>
      <c r="D21" s="189">
        <f t="shared" si="0"/>
        <v>99.4949494949495</v>
      </c>
      <c r="E21" s="421">
        <f>C21/8160*100</f>
        <v>65.18382352941177</v>
      </c>
      <c r="F21" s="186"/>
    </row>
    <row r="22" spans="1:6" ht="18" customHeight="1">
      <c r="A22" s="410" t="s">
        <v>56</v>
      </c>
      <c r="B22" s="184">
        <v>388</v>
      </c>
      <c r="C22" s="184">
        <v>388</v>
      </c>
      <c r="D22" s="189">
        <f t="shared" si="0"/>
        <v>100</v>
      </c>
      <c r="E22" s="421">
        <f>C22/331*100</f>
        <v>117.22054380664653</v>
      </c>
      <c r="F22" s="186"/>
    </row>
    <row r="23" spans="1:6" ht="18" customHeight="1">
      <c r="A23" s="410" t="s">
        <v>57</v>
      </c>
      <c r="B23" s="184">
        <v>1145</v>
      </c>
      <c r="C23" s="184">
        <v>1145</v>
      </c>
      <c r="D23" s="189">
        <f t="shared" si="0"/>
        <v>100</v>
      </c>
      <c r="E23" s="421">
        <f>C23/902*100</f>
        <v>126.940133037694</v>
      </c>
      <c r="F23" s="186"/>
    </row>
    <row r="24" spans="1:6" ht="18" customHeight="1">
      <c r="A24" s="410" t="s">
        <v>58</v>
      </c>
      <c r="B24" s="184">
        <v>919</v>
      </c>
      <c r="C24" s="184">
        <v>769</v>
      </c>
      <c r="D24" s="189">
        <f t="shared" si="0"/>
        <v>83.67791077257888</v>
      </c>
      <c r="E24" s="421">
        <f>C24/-275*100</f>
        <v>-279.6363636363636</v>
      </c>
      <c r="F24" s="186"/>
    </row>
    <row r="25" spans="1:4" ht="18" customHeight="1">
      <c r="A25" s="370"/>
      <c r="B25" s="130"/>
      <c r="C25" s="130"/>
      <c r="D25" s="422"/>
    </row>
  </sheetData>
  <sheetProtection/>
  <mergeCells count="1">
    <mergeCell ref="A1:F1"/>
  </mergeCells>
  <printOptions horizontalCentered="1"/>
  <pageMargins left="0.75" right="0.67" top="0.98" bottom="0.43" header="0.31" footer="0.67"/>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C6"/>
  <sheetViews>
    <sheetView workbookViewId="0" topLeftCell="A1">
      <selection activeCell="A14" sqref="A14"/>
    </sheetView>
  </sheetViews>
  <sheetFormatPr defaultColWidth="9.00390625" defaultRowHeight="14.25"/>
  <cols>
    <col min="1" max="1" width="45.50390625" style="29" customWidth="1"/>
    <col min="2" max="3" width="36.50390625" style="29" customWidth="1"/>
    <col min="4" max="16384" width="9.00390625" style="29" customWidth="1"/>
  </cols>
  <sheetData>
    <row r="1" spans="1:3" ht="39.75" customHeight="1">
      <c r="A1" s="118" t="s">
        <v>826</v>
      </c>
      <c r="B1" s="118"/>
      <c r="C1" s="118"/>
    </row>
    <row r="2" spans="1:3" s="112" customFormat="1" ht="21.75" customHeight="1">
      <c r="A2" s="112" t="s">
        <v>827</v>
      </c>
      <c r="C2" s="114" t="s">
        <v>2</v>
      </c>
    </row>
    <row r="3" s="112" customFormat="1" ht="10.5" customHeight="1">
      <c r="C3" s="114"/>
    </row>
    <row r="4" spans="1:3" s="109" customFormat="1" ht="34.5" customHeight="1">
      <c r="A4" s="115" t="s">
        <v>102</v>
      </c>
      <c r="B4" s="115" t="s">
        <v>828</v>
      </c>
      <c r="C4" s="115" t="s">
        <v>8</v>
      </c>
    </row>
    <row r="5" spans="1:3" s="28" customFormat="1" ht="34.5" customHeight="1">
      <c r="A5" s="116" t="s">
        <v>829</v>
      </c>
      <c r="B5" s="116">
        <v>110049.74</v>
      </c>
      <c r="C5" s="117"/>
    </row>
    <row r="6" spans="1:3" s="28" customFormat="1" ht="34.5" customHeight="1">
      <c r="A6" s="116" t="s">
        <v>830</v>
      </c>
      <c r="B6" s="116">
        <v>132818.74</v>
      </c>
      <c r="C6" s="117"/>
    </row>
  </sheetData>
  <sheetProtection/>
  <mergeCells count="1">
    <mergeCell ref="A1:C1"/>
  </mergeCells>
  <printOptions horizontalCentered="1"/>
  <pageMargins left="0.75" right="0.75" top="0.98" bottom="0.98" header="0.51" footer="0.5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6"/>
  <sheetViews>
    <sheetView workbookViewId="0" topLeftCell="A1">
      <selection activeCell="A21" sqref="A21"/>
    </sheetView>
  </sheetViews>
  <sheetFormatPr defaultColWidth="9.00390625" defaultRowHeight="14.25"/>
  <cols>
    <col min="1" max="1" width="46.25390625" style="29" customWidth="1"/>
    <col min="2" max="2" width="31.125" style="29" customWidth="1"/>
    <col min="3" max="3" width="36.00390625" style="29" customWidth="1"/>
    <col min="4" max="16384" width="9.00390625" style="29" customWidth="1"/>
  </cols>
  <sheetData>
    <row r="1" spans="1:3" ht="31.5">
      <c r="A1" s="113" t="s">
        <v>831</v>
      </c>
      <c r="B1" s="113"/>
      <c r="C1" s="113"/>
    </row>
    <row r="2" spans="1:3" s="112" customFormat="1" ht="27.75" customHeight="1">
      <c r="A2" s="112" t="s">
        <v>832</v>
      </c>
      <c r="C2" s="114" t="s">
        <v>2</v>
      </c>
    </row>
    <row r="3" s="112" customFormat="1" ht="12.75" customHeight="1">
      <c r="C3" s="114"/>
    </row>
    <row r="4" spans="1:3" s="109" customFormat="1" ht="34.5" customHeight="1">
      <c r="A4" s="115" t="s">
        <v>102</v>
      </c>
      <c r="B4" s="115" t="s">
        <v>828</v>
      </c>
      <c r="C4" s="115" t="s">
        <v>8</v>
      </c>
    </row>
    <row r="5" spans="1:3" s="28" customFormat="1" ht="34.5" customHeight="1">
      <c r="A5" s="116" t="s">
        <v>833</v>
      </c>
      <c r="B5" s="116">
        <v>9500</v>
      </c>
      <c r="C5" s="117"/>
    </row>
    <row r="6" spans="1:3" s="28" customFormat="1" ht="34.5" customHeight="1">
      <c r="A6" s="116" t="s">
        <v>834</v>
      </c>
      <c r="B6" s="116">
        <v>20500</v>
      </c>
      <c r="C6" s="117"/>
    </row>
  </sheetData>
  <sheetProtection/>
  <mergeCells count="1">
    <mergeCell ref="A1:C1"/>
  </mergeCells>
  <printOptions horizontalCentered="1"/>
  <pageMargins left="0.75" right="0.75" top="0.98" bottom="0.98" header="0.51" footer="0.5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IV55"/>
  <sheetViews>
    <sheetView workbookViewId="0" topLeftCell="A37">
      <selection activeCell="A42" sqref="A42"/>
    </sheetView>
  </sheetViews>
  <sheetFormatPr defaultColWidth="6.875" defaultRowHeight="14.25" customHeight="1"/>
  <cols>
    <col min="1" max="1" width="17.625" style="19" customWidth="1"/>
    <col min="2" max="2" width="6.375" style="19" customWidth="1"/>
    <col min="3" max="3" width="6.00390625" style="20" customWidth="1"/>
    <col min="4" max="4" width="7.25390625" style="20" customWidth="1"/>
    <col min="5" max="5" width="8.25390625" style="20" customWidth="1"/>
    <col min="6" max="6" width="48.125" style="21" customWidth="1"/>
    <col min="7" max="7" width="19.25390625" style="22" customWidth="1"/>
    <col min="8" max="8" width="8.50390625" style="23" customWidth="1"/>
    <col min="9" max="9" width="8.375" style="24" customWidth="1"/>
    <col min="10" max="221" width="6.875" style="25" customWidth="1"/>
    <col min="222" max="225" width="6.875" style="26" customWidth="1"/>
    <col min="226" max="241" width="6.875" style="27" customWidth="1"/>
    <col min="242" max="253" width="6.875" style="28" customWidth="1"/>
    <col min="254" max="16384" width="6.875" style="29" customWidth="1"/>
  </cols>
  <sheetData>
    <row r="1" spans="1:241" s="1" customFormat="1" ht="33.75">
      <c r="A1" s="30" t="s">
        <v>835</v>
      </c>
      <c r="B1" s="30"/>
      <c r="C1" s="30"/>
      <c r="D1" s="30"/>
      <c r="E1" s="30"/>
      <c r="F1" s="30"/>
      <c r="G1" s="30"/>
      <c r="H1" s="31"/>
      <c r="I1" s="82"/>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100"/>
      <c r="HO1" s="100"/>
      <c r="HP1" s="100"/>
      <c r="HQ1" s="100"/>
      <c r="HR1" s="83"/>
      <c r="HS1" s="83"/>
      <c r="HT1" s="83"/>
      <c r="HU1" s="83"/>
      <c r="HV1" s="83"/>
      <c r="HW1" s="83"/>
      <c r="HX1" s="83"/>
      <c r="HY1" s="83"/>
      <c r="HZ1" s="83"/>
      <c r="IA1" s="83"/>
      <c r="IB1" s="83"/>
      <c r="IC1" s="83"/>
      <c r="ID1" s="83"/>
      <c r="IE1" s="83"/>
      <c r="IF1" s="83"/>
      <c r="IG1" s="83"/>
    </row>
    <row r="2" spans="1:253" s="2" customFormat="1" ht="14.25" customHeight="1">
      <c r="A2" s="32" t="s">
        <v>836</v>
      </c>
      <c r="B2" s="33"/>
      <c r="C2" s="34"/>
      <c r="D2" s="34"/>
      <c r="E2" s="35"/>
      <c r="F2" s="36"/>
      <c r="G2" s="37" t="s">
        <v>2</v>
      </c>
      <c r="H2" s="37"/>
      <c r="I2" s="37"/>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101"/>
      <c r="HO2" s="101"/>
      <c r="HP2" s="101"/>
      <c r="HQ2" s="101"/>
      <c r="IH2" s="108"/>
      <c r="II2" s="108"/>
      <c r="IJ2" s="108"/>
      <c r="IK2" s="108"/>
      <c r="IL2" s="108"/>
      <c r="IM2" s="108"/>
      <c r="IN2" s="108"/>
      <c r="IO2" s="108"/>
      <c r="IP2" s="108"/>
      <c r="IQ2" s="108"/>
      <c r="IR2" s="108"/>
      <c r="IS2" s="108"/>
    </row>
    <row r="3" spans="1:253" s="3" customFormat="1" ht="24" customHeight="1">
      <c r="A3" s="38" t="s">
        <v>837</v>
      </c>
      <c r="B3" s="38" t="s">
        <v>838</v>
      </c>
      <c r="C3" s="39" t="s">
        <v>839</v>
      </c>
      <c r="D3" s="39" t="s">
        <v>840</v>
      </c>
      <c r="E3" s="39"/>
      <c r="F3" s="40" t="s">
        <v>841</v>
      </c>
      <c r="G3" s="40" t="s">
        <v>842</v>
      </c>
      <c r="H3" s="41" t="s">
        <v>843</v>
      </c>
      <c r="I3" s="85"/>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102"/>
      <c r="HO3" s="102"/>
      <c r="HP3" s="102"/>
      <c r="HQ3" s="102"/>
      <c r="HR3" s="105"/>
      <c r="HS3" s="105"/>
      <c r="HT3" s="105"/>
      <c r="HU3" s="105"/>
      <c r="HV3" s="105"/>
      <c r="HW3" s="105"/>
      <c r="HX3" s="105"/>
      <c r="HY3" s="105"/>
      <c r="HZ3" s="105"/>
      <c r="IA3" s="105"/>
      <c r="IB3" s="105"/>
      <c r="IC3" s="105"/>
      <c r="ID3" s="105"/>
      <c r="IE3" s="105"/>
      <c r="IF3" s="105"/>
      <c r="IG3" s="105"/>
      <c r="IH3" s="109"/>
      <c r="II3" s="109"/>
      <c r="IJ3" s="109"/>
      <c r="IK3" s="109"/>
      <c r="IL3" s="109"/>
      <c r="IM3" s="109"/>
      <c r="IN3" s="109"/>
      <c r="IO3" s="109"/>
      <c r="IP3" s="109"/>
      <c r="IQ3" s="109"/>
      <c r="IR3" s="109"/>
      <c r="IS3" s="109"/>
    </row>
    <row r="4" spans="1:253" s="3" customFormat="1" ht="24" customHeight="1">
      <c r="A4" s="38"/>
      <c r="B4" s="38"/>
      <c r="C4" s="39"/>
      <c r="D4" s="39" t="s">
        <v>844</v>
      </c>
      <c r="E4" s="39" t="s">
        <v>845</v>
      </c>
      <c r="F4" s="40"/>
      <c r="G4" s="40"/>
      <c r="H4" s="41" t="s">
        <v>846</v>
      </c>
      <c r="I4" s="41" t="s">
        <v>847</v>
      </c>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102"/>
      <c r="HO4" s="102"/>
      <c r="HP4" s="102"/>
      <c r="HQ4" s="102"/>
      <c r="HR4" s="105"/>
      <c r="HS4" s="105"/>
      <c r="HT4" s="105"/>
      <c r="HU4" s="105"/>
      <c r="HV4" s="105"/>
      <c r="HW4" s="105"/>
      <c r="HX4" s="105"/>
      <c r="HY4" s="105"/>
      <c r="HZ4" s="105"/>
      <c r="IA4" s="105"/>
      <c r="IB4" s="105"/>
      <c r="IC4" s="105"/>
      <c r="ID4" s="105"/>
      <c r="IE4" s="105"/>
      <c r="IF4" s="105"/>
      <c r="IG4" s="105"/>
      <c r="IH4" s="109"/>
      <c r="II4" s="109"/>
      <c r="IJ4" s="109"/>
      <c r="IK4" s="109"/>
      <c r="IL4" s="109"/>
      <c r="IM4" s="109"/>
      <c r="IN4" s="109"/>
      <c r="IO4" s="109"/>
      <c r="IP4" s="109"/>
      <c r="IQ4" s="109"/>
      <c r="IR4" s="109"/>
      <c r="IS4" s="109"/>
    </row>
    <row r="5" spans="1:221" s="4" customFormat="1" ht="24" customHeight="1">
      <c r="A5" s="42" t="s">
        <v>99</v>
      </c>
      <c r="B5" s="43"/>
      <c r="C5" s="42">
        <f>C6+C11+C14+C20+C31+C34+C36+C41</f>
        <v>39229.9087</v>
      </c>
      <c r="D5" s="42">
        <f>D6+D11+D14+D20+D31+D34+D36+D41</f>
        <v>29192.648699999998</v>
      </c>
      <c r="E5" s="42">
        <f>E6+E11+E14+E20+E31+E34+E36+E41</f>
        <v>10037.26</v>
      </c>
      <c r="F5" s="44"/>
      <c r="G5" s="44"/>
      <c r="H5" s="45"/>
      <c r="I5" s="87"/>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row>
    <row r="6" spans="1:256" s="5" customFormat="1" ht="24" customHeight="1">
      <c r="A6" s="46" t="s">
        <v>848</v>
      </c>
      <c r="B6" s="47"/>
      <c r="C6" s="48">
        <f>SUM(C7:C10)</f>
        <v>12811.5</v>
      </c>
      <c r="D6" s="48">
        <f>SUM(D7:D10)</f>
        <v>5624.5</v>
      </c>
      <c r="E6" s="48">
        <f>SUM(E7:E10)</f>
        <v>7187</v>
      </c>
      <c r="F6" s="49"/>
      <c r="G6" s="47"/>
      <c r="H6" s="50"/>
      <c r="I6" s="88"/>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103"/>
      <c r="HO6" s="103"/>
      <c r="HP6" s="103"/>
      <c r="HQ6" s="103"/>
      <c r="HR6" s="106"/>
      <c r="HS6" s="106"/>
      <c r="HT6" s="106"/>
      <c r="HU6" s="106"/>
      <c r="HV6" s="106"/>
      <c r="HW6" s="106"/>
      <c r="HX6" s="106"/>
      <c r="HY6" s="106"/>
      <c r="HZ6" s="106"/>
      <c r="IA6" s="106"/>
      <c r="IB6" s="106"/>
      <c r="IC6" s="106"/>
      <c r="ID6" s="106"/>
      <c r="IE6" s="106"/>
      <c r="IF6" s="106"/>
      <c r="IG6" s="106"/>
      <c r="IH6" s="110"/>
      <c r="II6" s="110"/>
      <c r="IJ6" s="110"/>
      <c r="IK6" s="110"/>
      <c r="IL6" s="110"/>
      <c r="IM6" s="110"/>
      <c r="IN6" s="110"/>
      <c r="IO6" s="110"/>
      <c r="IP6" s="110"/>
      <c r="IQ6" s="110"/>
      <c r="IR6" s="110"/>
      <c r="IS6" s="110"/>
      <c r="IT6" s="16"/>
      <c r="IU6" s="16"/>
      <c r="IV6" s="16"/>
    </row>
    <row r="7" spans="1:256" s="6" customFormat="1" ht="55.5" customHeight="1">
      <c r="A7" s="51" t="s">
        <v>849</v>
      </c>
      <c r="B7" s="52" t="s">
        <v>850</v>
      </c>
      <c r="C7" s="53">
        <v>5126</v>
      </c>
      <c r="D7" s="53">
        <v>5126</v>
      </c>
      <c r="E7" s="53"/>
      <c r="F7" s="54" t="s">
        <v>851</v>
      </c>
      <c r="G7" s="52" t="s">
        <v>852</v>
      </c>
      <c r="H7" s="55" t="s">
        <v>849</v>
      </c>
      <c r="I7" s="90">
        <v>2130599</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26"/>
      <c r="HO7" s="26"/>
      <c r="HP7" s="26"/>
      <c r="HQ7" s="26"/>
      <c r="HR7" s="27"/>
      <c r="HS7" s="27"/>
      <c r="HT7" s="27"/>
      <c r="HU7" s="27"/>
      <c r="HV7" s="27"/>
      <c r="HW7" s="27"/>
      <c r="HX7" s="27"/>
      <c r="HY7" s="27"/>
      <c r="HZ7" s="27"/>
      <c r="IA7" s="27"/>
      <c r="IB7" s="27"/>
      <c r="IC7" s="27"/>
      <c r="ID7" s="27"/>
      <c r="IE7" s="27"/>
      <c r="IF7" s="27"/>
      <c r="IG7" s="27"/>
      <c r="IH7" s="28"/>
      <c r="II7" s="28"/>
      <c r="IJ7" s="28"/>
      <c r="IK7" s="28"/>
      <c r="IL7" s="28"/>
      <c r="IM7" s="28"/>
      <c r="IN7" s="28"/>
      <c r="IO7" s="28"/>
      <c r="IP7" s="28"/>
      <c r="IQ7" s="28"/>
      <c r="IR7" s="28"/>
      <c r="IS7" s="28"/>
      <c r="IT7" s="29"/>
      <c r="IU7" s="29"/>
      <c r="IV7" s="29"/>
    </row>
    <row r="8" spans="1:256" s="6" customFormat="1" ht="63" customHeight="1">
      <c r="A8" s="51" t="s">
        <v>853</v>
      </c>
      <c r="B8" s="52" t="s">
        <v>850</v>
      </c>
      <c r="C8" s="53">
        <f>D8+E8</f>
        <v>7125</v>
      </c>
      <c r="D8" s="53"/>
      <c r="E8" s="53">
        <f>799+6326</f>
        <v>7125</v>
      </c>
      <c r="F8" s="54" t="s">
        <v>854</v>
      </c>
      <c r="G8" s="52" t="s">
        <v>855</v>
      </c>
      <c r="H8" s="55" t="s">
        <v>856</v>
      </c>
      <c r="I8" s="90">
        <v>2130599</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26"/>
      <c r="HO8" s="26"/>
      <c r="HP8" s="26"/>
      <c r="HQ8" s="26"/>
      <c r="HR8" s="27"/>
      <c r="HS8" s="27"/>
      <c r="HT8" s="27"/>
      <c r="HU8" s="27"/>
      <c r="HV8" s="27"/>
      <c r="HW8" s="27"/>
      <c r="HX8" s="27"/>
      <c r="HY8" s="27"/>
      <c r="HZ8" s="27"/>
      <c r="IA8" s="27"/>
      <c r="IB8" s="27"/>
      <c r="IC8" s="27"/>
      <c r="ID8" s="27"/>
      <c r="IE8" s="27"/>
      <c r="IF8" s="27"/>
      <c r="IG8" s="27"/>
      <c r="IH8" s="28"/>
      <c r="II8" s="28"/>
      <c r="IJ8" s="28"/>
      <c r="IK8" s="28"/>
      <c r="IL8" s="28"/>
      <c r="IM8" s="28"/>
      <c r="IN8" s="28"/>
      <c r="IO8" s="28"/>
      <c r="IP8" s="28"/>
      <c r="IQ8" s="28"/>
      <c r="IR8" s="28"/>
      <c r="IS8" s="28"/>
      <c r="IT8" s="29"/>
      <c r="IU8" s="29"/>
      <c r="IV8" s="29"/>
    </row>
    <row r="9" spans="1:256" s="7" customFormat="1" ht="72" customHeight="1">
      <c r="A9" s="51" t="s">
        <v>857</v>
      </c>
      <c r="B9" s="52" t="s">
        <v>858</v>
      </c>
      <c r="C9" s="53">
        <f>D9+E9</f>
        <v>518.5</v>
      </c>
      <c r="D9" s="53">
        <v>498.5</v>
      </c>
      <c r="E9" s="53">
        <v>20</v>
      </c>
      <c r="F9" s="54" t="s">
        <v>859</v>
      </c>
      <c r="G9" s="52" t="s">
        <v>860</v>
      </c>
      <c r="H9" s="51" t="s">
        <v>861</v>
      </c>
      <c r="I9" s="91" t="s">
        <v>862</v>
      </c>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26"/>
      <c r="HO9" s="26"/>
      <c r="HP9" s="26"/>
      <c r="HQ9" s="26"/>
      <c r="HR9" s="27"/>
      <c r="HS9" s="27"/>
      <c r="HT9" s="27"/>
      <c r="HU9" s="27"/>
      <c r="HV9" s="27"/>
      <c r="HW9" s="27"/>
      <c r="HX9" s="27"/>
      <c r="HY9" s="27"/>
      <c r="HZ9" s="27"/>
      <c r="IA9" s="27"/>
      <c r="IB9" s="27"/>
      <c r="IC9" s="27"/>
      <c r="ID9" s="27"/>
      <c r="IE9" s="27"/>
      <c r="IF9" s="27"/>
      <c r="IG9" s="27"/>
      <c r="IH9" s="28"/>
      <c r="II9" s="28"/>
      <c r="IJ9" s="28"/>
      <c r="IK9" s="28"/>
      <c r="IL9" s="28"/>
      <c r="IM9" s="28"/>
      <c r="IN9" s="28"/>
      <c r="IO9" s="28"/>
      <c r="IP9" s="28"/>
      <c r="IQ9" s="28"/>
      <c r="IR9" s="28"/>
      <c r="IS9" s="28"/>
      <c r="IT9" s="29"/>
      <c r="IU9" s="29"/>
      <c r="IV9" s="29"/>
    </row>
    <row r="10" spans="1:256" s="7" customFormat="1" ht="48.75" customHeight="1">
      <c r="A10" s="51" t="s">
        <v>863</v>
      </c>
      <c r="B10" s="52" t="s">
        <v>864</v>
      </c>
      <c r="C10" s="53">
        <f>D10+E10</f>
        <v>42</v>
      </c>
      <c r="D10" s="53"/>
      <c r="E10" s="53">
        <v>42</v>
      </c>
      <c r="F10" s="54" t="s">
        <v>865</v>
      </c>
      <c r="G10" s="52" t="s">
        <v>866</v>
      </c>
      <c r="H10" s="55" t="s">
        <v>867</v>
      </c>
      <c r="I10" s="90">
        <v>2130803</v>
      </c>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26"/>
      <c r="HO10" s="26"/>
      <c r="HP10" s="26"/>
      <c r="HQ10" s="26"/>
      <c r="HR10" s="27"/>
      <c r="HS10" s="27"/>
      <c r="HT10" s="27"/>
      <c r="HU10" s="27"/>
      <c r="HV10" s="27"/>
      <c r="HW10" s="27"/>
      <c r="HX10" s="27"/>
      <c r="HY10" s="27"/>
      <c r="HZ10" s="27"/>
      <c r="IA10" s="27"/>
      <c r="IB10" s="27"/>
      <c r="IC10" s="27"/>
      <c r="ID10" s="27"/>
      <c r="IE10" s="27"/>
      <c r="IF10" s="27"/>
      <c r="IG10" s="27"/>
      <c r="IH10" s="28"/>
      <c r="II10" s="28"/>
      <c r="IJ10" s="28"/>
      <c r="IK10" s="28"/>
      <c r="IL10" s="28"/>
      <c r="IM10" s="28"/>
      <c r="IN10" s="28"/>
      <c r="IO10" s="28"/>
      <c r="IP10" s="28"/>
      <c r="IQ10" s="28"/>
      <c r="IR10" s="28"/>
      <c r="IS10" s="28"/>
      <c r="IT10" s="29"/>
      <c r="IU10" s="29"/>
      <c r="IV10" s="29"/>
    </row>
    <row r="11" spans="1:256" s="8" customFormat="1" ht="24" customHeight="1">
      <c r="A11" s="56" t="s">
        <v>868</v>
      </c>
      <c r="B11" s="47"/>
      <c r="C11" s="57">
        <f>SUM(C12:C13)</f>
        <v>65</v>
      </c>
      <c r="D11" s="57">
        <f>SUM(D12:D13)</f>
        <v>65</v>
      </c>
      <c r="E11" s="57">
        <f>SUM(E12:E13)</f>
        <v>0</v>
      </c>
      <c r="F11" s="47"/>
      <c r="G11" s="47"/>
      <c r="H11" s="58"/>
      <c r="I11" s="9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03"/>
      <c r="HO11" s="103"/>
      <c r="HP11" s="103"/>
      <c r="HQ11" s="103"/>
      <c r="HR11" s="106"/>
      <c r="HS11" s="106"/>
      <c r="HT11" s="106"/>
      <c r="HU11" s="106"/>
      <c r="HV11" s="106"/>
      <c r="HW11" s="106"/>
      <c r="HX11" s="106"/>
      <c r="HY11" s="106"/>
      <c r="HZ11" s="106"/>
      <c r="IA11" s="106"/>
      <c r="IB11" s="106"/>
      <c r="IC11" s="106"/>
      <c r="ID11" s="106"/>
      <c r="IE11" s="106"/>
      <c r="IF11" s="106"/>
      <c r="IG11" s="106"/>
      <c r="IH11" s="110"/>
      <c r="II11" s="110"/>
      <c r="IJ11" s="110"/>
      <c r="IK11" s="110"/>
      <c r="IL11" s="110"/>
      <c r="IM11" s="110"/>
      <c r="IN11" s="110"/>
      <c r="IO11" s="110"/>
      <c r="IP11" s="110"/>
      <c r="IQ11" s="110"/>
      <c r="IR11" s="110"/>
      <c r="IS11" s="110"/>
      <c r="IT11" s="16"/>
      <c r="IU11" s="16"/>
      <c r="IV11" s="16"/>
    </row>
    <row r="12" spans="1:256" s="6" customFormat="1" ht="78.75" customHeight="1">
      <c r="A12" s="51" t="s">
        <v>869</v>
      </c>
      <c r="B12" s="52" t="s">
        <v>870</v>
      </c>
      <c r="C12" s="53">
        <f>D12+E12</f>
        <v>20</v>
      </c>
      <c r="D12" s="53">
        <v>20</v>
      </c>
      <c r="E12" s="53"/>
      <c r="F12" s="54" t="s">
        <v>871</v>
      </c>
      <c r="G12" s="52" t="s">
        <v>872</v>
      </c>
      <c r="H12" s="51" t="s">
        <v>873</v>
      </c>
      <c r="I12" s="91" t="s">
        <v>874</v>
      </c>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26"/>
      <c r="HO12" s="26"/>
      <c r="HP12" s="26"/>
      <c r="HQ12" s="26"/>
      <c r="HR12" s="27"/>
      <c r="HS12" s="27"/>
      <c r="HT12" s="27"/>
      <c r="HU12" s="27"/>
      <c r="HV12" s="27"/>
      <c r="HW12" s="27"/>
      <c r="HX12" s="27"/>
      <c r="HY12" s="27"/>
      <c r="HZ12" s="27"/>
      <c r="IA12" s="27"/>
      <c r="IB12" s="27"/>
      <c r="IC12" s="27"/>
      <c r="ID12" s="27"/>
      <c r="IE12" s="27"/>
      <c r="IF12" s="27"/>
      <c r="IG12" s="27"/>
      <c r="IH12" s="28"/>
      <c r="II12" s="28"/>
      <c r="IJ12" s="28"/>
      <c r="IK12" s="28"/>
      <c r="IL12" s="28"/>
      <c r="IM12" s="28"/>
      <c r="IN12" s="28"/>
      <c r="IO12" s="28"/>
      <c r="IP12" s="28"/>
      <c r="IQ12" s="28"/>
      <c r="IR12" s="28"/>
      <c r="IS12" s="28"/>
      <c r="IT12" s="29"/>
      <c r="IU12" s="29"/>
      <c r="IV12" s="29"/>
    </row>
    <row r="13" spans="1:256" s="6" customFormat="1" ht="111" customHeight="1">
      <c r="A13" s="51" t="s">
        <v>875</v>
      </c>
      <c r="B13" s="52" t="s">
        <v>876</v>
      </c>
      <c r="C13" s="53">
        <f>D13+E13</f>
        <v>45</v>
      </c>
      <c r="D13" s="53">
        <v>45</v>
      </c>
      <c r="E13" s="53"/>
      <c r="F13" s="54" t="s">
        <v>877</v>
      </c>
      <c r="G13" s="52" t="s">
        <v>878</v>
      </c>
      <c r="H13" s="51" t="s">
        <v>879</v>
      </c>
      <c r="I13" s="91" t="s">
        <v>880</v>
      </c>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26"/>
      <c r="HO13" s="26"/>
      <c r="HP13" s="26"/>
      <c r="HQ13" s="26"/>
      <c r="HR13" s="27"/>
      <c r="HS13" s="27"/>
      <c r="HT13" s="27"/>
      <c r="HU13" s="27"/>
      <c r="HV13" s="27"/>
      <c r="HW13" s="27"/>
      <c r="HX13" s="27"/>
      <c r="HY13" s="27"/>
      <c r="HZ13" s="27"/>
      <c r="IA13" s="27"/>
      <c r="IB13" s="27"/>
      <c r="IC13" s="27"/>
      <c r="ID13" s="27"/>
      <c r="IE13" s="27"/>
      <c r="IF13" s="27"/>
      <c r="IG13" s="27"/>
      <c r="IH13" s="28"/>
      <c r="II13" s="28"/>
      <c r="IJ13" s="28"/>
      <c r="IK13" s="28"/>
      <c r="IL13" s="28"/>
      <c r="IM13" s="28"/>
      <c r="IN13" s="28"/>
      <c r="IO13" s="28"/>
      <c r="IP13" s="28"/>
      <c r="IQ13" s="28"/>
      <c r="IR13" s="28"/>
      <c r="IS13" s="28"/>
      <c r="IT13" s="29"/>
      <c r="IU13" s="29"/>
      <c r="IV13" s="29"/>
    </row>
    <row r="14" spans="1:256" s="8" customFormat="1" ht="34.5" customHeight="1">
      <c r="A14" s="46" t="s">
        <v>881</v>
      </c>
      <c r="B14" s="47"/>
      <c r="C14" s="57">
        <f>SUM(C15:C19)</f>
        <v>1234.0052999999998</v>
      </c>
      <c r="D14" s="57">
        <f>SUM(D15:D19)</f>
        <v>479.00530000000003</v>
      </c>
      <c r="E14" s="57">
        <f>SUM(E15:E19)</f>
        <v>755</v>
      </c>
      <c r="F14" s="47"/>
      <c r="G14" s="59"/>
      <c r="H14" s="50"/>
      <c r="I14" s="88"/>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03"/>
      <c r="HO14" s="103"/>
      <c r="HP14" s="103"/>
      <c r="HQ14" s="103"/>
      <c r="HR14" s="106"/>
      <c r="HS14" s="106"/>
      <c r="HT14" s="106"/>
      <c r="HU14" s="106"/>
      <c r="HV14" s="106"/>
      <c r="HW14" s="106"/>
      <c r="HX14" s="106"/>
      <c r="HY14" s="106"/>
      <c r="HZ14" s="106"/>
      <c r="IA14" s="106"/>
      <c r="IB14" s="106"/>
      <c r="IC14" s="106"/>
      <c r="ID14" s="106"/>
      <c r="IE14" s="106"/>
      <c r="IF14" s="106"/>
      <c r="IG14" s="106"/>
      <c r="IH14" s="110"/>
      <c r="II14" s="110"/>
      <c r="IJ14" s="110"/>
      <c r="IK14" s="110"/>
      <c r="IL14" s="110"/>
      <c r="IM14" s="110"/>
      <c r="IN14" s="110"/>
      <c r="IO14" s="110"/>
      <c r="IP14" s="110"/>
      <c r="IQ14" s="110"/>
      <c r="IR14" s="110"/>
      <c r="IS14" s="110"/>
      <c r="IT14" s="16"/>
      <c r="IU14" s="16"/>
      <c r="IV14" s="16"/>
    </row>
    <row r="15" spans="1:256" s="6" customFormat="1" ht="81.75" customHeight="1">
      <c r="A15" s="51" t="s">
        <v>882</v>
      </c>
      <c r="B15" s="52" t="s">
        <v>883</v>
      </c>
      <c r="C15" s="53">
        <f>D15+E15</f>
        <v>6.0088</v>
      </c>
      <c r="D15" s="53">
        <v>6.0088</v>
      </c>
      <c r="E15" s="53"/>
      <c r="F15" s="54" t="s">
        <v>884</v>
      </c>
      <c r="G15" s="52" t="s">
        <v>885</v>
      </c>
      <c r="H15" s="51" t="s">
        <v>886</v>
      </c>
      <c r="I15" s="91" t="s">
        <v>887</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6"/>
      <c r="HO15" s="26"/>
      <c r="HP15" s="26"/>
      <c r="HQ15" s="26"/>
      <c r="HR15" s="27"/>
      <c r="HS15" s="27"/>
      <c r="HT15" s="27"/>
      <c r="HU15" s="27"/>
      <c r="HV15" s="27"/>
      <c r="HW15" s="27"/>
      <c r="HX15" s="27"/>
      <c r="HY15" s="27"/>
      <c r="HZ15" s="27"/>
      <c r="IA15" s="27"/>
      <c r="IB15" s="27"/>
      <c r="IC15" s="27"/>
      <c r="ID15" s="27"/>
      <c r="IE15" s="27"/>
      <c r="IF15" s="27"/>
      <c r="IG15" s="27"/>
      <c r="IH15" s="28"/>
      <c r="II15" s="28"/>
      <c r="IJ15" s="28"/>
      <c r="IK15" s="28"/>
      <c r="IL15" s="28"/>
      <c r="IM15" s="28"/>
      <c r="IN15" s="28"/>
      <c r="IO15" s="28"/>
      <c r="IP15" s="28"/>
      <c r="IQ15" s="28"/>
      <c r="IR15" s="28"/>
      <c r="IS15" s="28"/>
      <c r="IT15" s="29"/>
      <c r="IU15" s="29"/>
      <c r="IV15" s="29"/>
    </row>
    <row r="16" spans="1:256" s="6" customFormat="1" ht="85.5" customHeight="1">
      <c r="A16" s="51" t="s">
        <v>888</v>
      </c>
      <c r="B16" s="52" t="s">
        <v>883</v>
      </c>
      <c r="C16" s="53">
        <f>D16+E16</f>
        <v>98.73</v>
      </c>
      <c r="D16" s="53">
        <v>98.73</v>
      </c>
      <c r="E16" s="53"/>
      <c r="F16" s="54" t="s">
        <v>884</v>
      </c>
      <c r="G16" s="52" t="s">
        <v>889</v>
      </c>
      <c r="H16" s="51" t="s">
        <v>890</v>
      </c>
      <c r="I16" s="91" t="s">
        <v>891</v>
      </c>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26"/>
      <c r="HO16" s="26"/>
      <c r="HP16" s="26"/>
      <c r="HQ16" s="26"/>
      <c r="HR16" s="27"/>
      <c r="HS16" s="27"/>
      <c r="HT16" s="27"/>
      <c r="HU16" s="27"/>
      <c r="HV16" s="27"/>
      <c r="HW16" s="27"/>
      <c r="HX16" s="27"/>
      <c r="HY16" s="27"/>
      <c r="HZ16" s="27"/>
      <c r="IA16" s="27"/>
      <c r="IB16" s="27"/>
      <c r="IC16" s="27"/>
      <c r="ID16" s="27"/>
      <c r="IE16" s="27"/>
      <c r="IF16" s="27"/>
      <c r="IG16" s="27"/>
      <c r="IH16" s="28"/>
      <c r="II16" s="28"/>
      <c r="IJ16" s="28"/>
      <c r="IK16" s="28"/>
      <c r="IL16" s="28"/>
      <c r="IM16" s="28"/>
      <c r="IN16" s="28"/>
      <c r="IO16" s="28"/>
      <c r="IP16" s="28"/>
      <c r="IQ16" s="28"/>
      <c r="IR16" s="28"/>
      <c r="IS16" s="28"/>
      <c r="IT16" s="29"/>
      <c r="IU16" s="29"/>
      <c r="IV16" s="29"/>
    </row>
    <row r="17" spans="1:256" s="6" customFormat="1" ht="113.25" customHeight="1">
      <c r="A17" s="51" t="s">
        <v>892</v>
      </c>
      <c r="B17" s="52" t="s">
        <v>883</v>
      </c>
      <c r="C17" s="53">
        <f>D17+E17</f>
        <v>799.2665</v>
      </c>
      <c r="D17" s="53">
        <v>44.2665</v>
      </c>
      <c r="E17" s="53">
        <v>755</v>
      </c>
      <c r="F17" s="54" t="s">
        <v>893</v>
      </c>
      <c r="G17" s="52" t="s">
        <v>894</v>
      </c>
      <c r="H17" s="51" t="s">
        <v>895</v>
      </c>
      <c r="I17" s="91" t="s">
        <v>896</v>
      </c>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26"/>
      <c r="HO17" s="26"/>
      <c r="HP17" s="26"/>
      <c r="HQ17" s="26"/>
      <c r="HR17" s="27"/>
      <c r="HS17" s="27"/>
      <c r="HT17" s="27"/>
      <c r="HU17" s="27"/>
      <c r="HV17" s="27"/>
      <c r="HW17" s="27"/>
      <c r="HX17" s="27"/>
      <c r="HY17" s="27"/>
      <c r="HZ17" s="27"/>
      <c r="IA17" s="27"/>
      <c r="IB17" s="27"/>
      <c r="IC17" s="27"/>
      <c r="ID17" s="27"/>
      <c r="IE17" s="27"/>
      <c r="IF17" s="27"/>
      <c r="IG17" s="27"/>
      <c r="IH17" s="28"/>
      <c r="II17" s="28"/>
      <c r="IJ17" s="28"/>
      <c r="IK17" s="28"/>
      <c r="IL17" s="28"/>
      <c r="IM17" s="28"/>
      <c r="IN17" s="28"/>
      <c r="IO17" s="28"/>
      <c r="IP17" s="28"/>
      <c r="IQ17" s="28"/>
      <c r="IR17" s="28"/>
      <c r="IS17" s="28"/>
      <c r="IT17" s="29"/>
      <c r="IU17" s="29"/>
      <c r="IV17" s="29"/>
    </row>
    <row r="18" spans="1:256" s="6" customFormat="1" ht="81" customHeight="1">
      <c r="A18" s="51" t="s">
        <v>897</v>
      </c>
      <c r="B18" s="60" t="s">
        <v>898</v>
      </c>
      <c r="C18" s="53">
        <v>230</v>
      </c>
      <c r="D18" s="53">
        <v>230</v>
      </c>
      <c r="E18" s="53"/>
      <c r="F18" s="54" t="s">
        <v>899</v>
      </c>
      <c r="G18" s="52" t="s">
        <v>900</v>
      </c>
      <c r="H18" s="51" t="s">
        <v>901</v>
      </c>
      <c r="I18" s="91" t="s">
        <v>902</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26"/>
      <c r="HO18" s="26"/>
      <c r="HP18" s="26"/>
      <c r="HQ18" s="26"/>
      <c r="HR18" s="27"/>
      <c r="HS18" s="27"/>
      <c r="HT18" s="27"/>
      <c r="HU18" s="27"/>
      <c r="HV18" s="27"/>
      <c r="HW18" s="27"/>
      <c r="HX18" s="27"/>
      <c r="HY18" s="27"/>
      <c r="HZ18" s="27"/>
      <c r="IA18" s="27"/>
      <c r="IB18" s="27"/>
      <c r="IC18" s="27"/>
      <c r="ID18" s="27"/>
      <c r="IE18" s="27"/>
      <c r="IF18" s="27"/>
      <c r="IG18" s="27"/>
      <c r="IH18" s="28"/>
      <c r="II18" s="28"/>
      <c r="IJ18" s="28"/>
      <c r="IK18" s="28"/>
      <c r="IL18" s="28"/>
      <c r="IM18" s="28"/>
      <c r="IN18" s="28"/>
      <c r="IO18" s="28"/>
      <c r="IP18" s="28"/>
      <c r="IQ18" s="28"/>
      <c r="IR18" s="28"/>
      <c r="IS18" s="28"/>
      <c r="IT18" s="29"/>
      <c r="IU18" s="29"/>
      <c r="IV18" s="29"/>
    </row>
    <row r="19" spans="1:256" s="9" customFormat="1" ht="76.5" customHeight="1">
      <c r="A19" s="51" t="s">
        <v>903</v>
      </c>
      <c r="B19" s="52" t="s">
        <v>904</v>
      </c>
      <c r="C19" s="53">
        <f>D19+E19</f>
        <v>100</v>
      </c>
      <c r="D19" s="53">
        <v>100</v>
      </c>
      <c r="E19" s="53"/>
      <c r="F19" s="54" t="s">
        <v>905</v>
      </c>
      <c r="G19" s="52" t="s">
        <v>906</v>
      </c>
      <c r="H19" s="51" t="s">
        <v>907</v>
      </c>
      <c r="I19" s="91" t="s">
        <v>908</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26"/>
      <c r="HQ19" s="26"/>
      <c r="HR19" s="27"/>
      <c r="HS19" s="27"/>
      <c r="HT19" s="27"/>
      <c r="HU19" s="27"/>
      <c r="HV19" s="27"/>
      <c r="HW19" s="27"/>
      <c r="HX19" s="27"/>
      <c r="HY19" s="27"/>
      <c r="HZ19" s="27"/>
      <c r="IA19" s="27"/>
      <c r="IB19" s="27"/>
      <c r="IC19" s="27"/>
      <c r="ID19" s="27"/>
      <c r="IE19" s="27"/>
      <c r="IF19" s="27"/>
      <c r="IG19" s="27"/>
      <c r="IH19" s="28"/>
      <c r="II19" s="28"/>
      <c r="IJ19" s="28"/>
      <c r="IK19" s="28"/>
      <c r="IL19" s="28"/>
      <c r="IM19" s="28"/>
      <c r="IN19" s="28"/>
      <c r="IO19" s="28"/>
      <c r="IP19" s="28"/>
      <c r="IQ19" s="28"/>
      <c r="IR19" s="28"/>
      <c r="IS19" s="28"/>
      <c r="IT19" s="29"/>
      <c r="IU19" s="29"/>
      <c r="IV19" s="29"/>
    </row>
    <row r="20" spans="1:256" s="10" customFormat="1" ht="39" customHeight="1">
      <c r="A20" s="61" t="s">
        <v>909</v>
      </c>
      <c r="B20" s="62"/>
      <c r="C20" s="57">
        <f>SUM(C21:C30)</f>
        <v>4230.202899999999</v>
      </c>
      <c r="D20" s="57">
        <f>SUM(D21:D30)</f>
        <v>4224.5329</v>
      </c>
      <c r="E20" s="57">
        <f>SUM(E21:E30)</f>
        <v>5.67</v>
      </c>
      <c r="F20" s="47"/>
      <c r="G20" s="62"/>
      <c r="H20" s="61"/>
      <c r="I20" s="94"/>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103"/>
      <c r="HQ20" s="103"/>
      <c r="HR20" s="106"/>
      <c r="HS20" s="106"/>
      <c r="HT20" s="106"/>
      <c r="HU20" s="106"/>
      <c r="HV20" s="106"/>
      <c r="HW20" s="106"/>
      <c r="HX20" s="106"/>
      <c r="HY20" s="106"/>
      <c r="HZ20" s="106"/>
      <c r="IA20" s="106"/>
      <c r="IB20" s="106"/>
      <c r="IC20" s="106"/>
      <c r="ID20" s="106"/>
      <c r="IE20" s="106"/>
      <c r="IF20" s="106"/>
      <c r="IG20" s="106"/>
      <c r="IH20" s="110"/>
      <c r="II20" s="110"/>
      <c r="IJ20" s="110"/>
      <c r="IK20" s="110"/>
      <c r="IL20" s="110"/>
      <c r="IM20" s="110"/>
      <c r="IN20" s="110"/>
      <c r="IO20" s="110"/>
      <c r="IP20" s="110"/>
      <c r="IQ20" s="110"/>
      <c r="IR20" s="110"/>
      <c r="IS20" s="110"/>
      <c r="IT20" s="16"/>
      <c r="IU20" s="16"/>
      <c r="IV20" s="16"/>
    </row>
    <row r="21" spans="1:256" s="9" customFormat="1" ht="66.75" customHeight="1">
      <c r="A21" s="51" t="s">
        <v>910</v>
      </c>
      <c r="B21" s="52" t="s">
        <v>911</v>
      </c>
      <c r="C21" s="51">
        <f aca="true" t="shared" si="0" ref="C21:C30">D21+E21</f>
        <v>144.81675</v>
      </c>
      <c r="D21" s="51">
        <v>144.81675</v>
      </c>
      <c r="E21" s="51"/>
      <c r="F21" s="52" t="s">
        <v>912</v>
      </c>
      <c r="G21" s="52" t="s">
        <v>913</v>
      </c>
      <c r="H21" s="51" t="s">
        <v>914</v>
      </c>
      <c r="I21" s="69" t="s">
        <v>915</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26"/>
      <c r="HQ21" s="26"/>
      <c r="HR21" s="27"/>
      <c r="HS21" s="27"/>
      <c r="HT21" s="27"/>
      <c r="HU21" s="27"/>
      <c r="HV21" s="27"/>
      <c r="HW21" s="27"/>
      <c r="HX21" s="27"/>
      <c r="HY21" s="27"/>
      <c r="HZ21" s="27"/>
      <c r="IA21" s="27"/>
      <c r="IB21" s="27"/>
      <c r="IC21" s="27"/>
      <c r="ID21" s="27"/>
      <c r="IE21" s="27"/>
      <c r="IF21" s="27"/>
      <c r="IG21" s="27"/>
      <c r="IH21" s="28"/>
      <c r="II21" s="28"/>
      <c r="IJ21" s="28"/>
      <c r="IK21" s="28"/>
      <c r="IL21" s="28"/>
      <c r="IM21" s="28"/>
      <c r="IN21" s="28"/>
      <c r="IO21" s="28"/>
      <c r="IP21" s="28"/>
      <c r="IQ21" s="28"/>
      <c r="IR21" s="28"/>
      <c r="IS21" s="28"/>
      <c r="IT21" s="29"/>
      <c r="IU21" s="29"/>
      <c r="IV21" s="29"/>
    </row>
    <row r="22" spans="1:256" s="9" customFormat="1" ht="73.5" customHeight="1">
      <c r="A22" s="63" t="s">
        <v>910</v>
      </c>
      <c r="B22" s="64" t="s">
        <v>911</v>
      </c>
      <c r="C22" s="63">
        <f t="shared" si="0"/>
        <v>144.81675</v>
      </c>
      <c r="D22" s="63">
        <v>144.81675</v>
      </c>
      <c r="E22" s="63"/>
      <c r="F22" s="65" t="s">
        <v>916</v>
      </c>
      <c r="G22" s="64" t="s">
        <v>913</v>
      </c>
      <c r="H22" s="63" t="s">
        <v>914</v>
      </c>
      <c r="I22" s="7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26"/>
      <c r="HQ22" s="26"/>
      <c r="HR22" s="27"/>
      <c r="HS22" s="27"/>
      <c r="HT22" s="27"/>
      <c r="HU22" s="27"/>
      <c r="HV22" s="27"/>
      <c r="HW22" s="27"/>
      <c r="HX22" s="27"/>
      <c r="HY22" s="27"/>
      <c r="HZ22" s="27"/>
      <c r="IA22" s="27"/>
      <c r="IB22" s="27"/>
      <c r="IC22" s="27"/>
      <c r="ID22" s="27"/>
      <c r="IE22" s="27"/>
      <c r="IF22" s="27"/>
      <c r="IG22" s="27"/>
      <c r="IH22" s="28"/>
      <c r="II22" s="28"/>
      <c r="IJ22" s="28"/>
      <c r="IK22" s="28"/>
      <c r="IL22" s="28"/>
      <c r="IM22" s="28"/>
      <c r="IN22" s="28"/>
      <c r="IO22" s="28"/>
      <c r="IP22" s="28"/>
      <c r="IQ22" s="28"/>
      <c r="IR22" s="28"/>
      <c r="IS22" s="28"/>
      <c r="IT22" s="29"/>
      <c r="IU22" s="29"/>
      <c r="IV22" s="29"/>
    </row>
    <row r="23" spans="1:256" s="6" customFormat="1" ht="93.75" customHeight="1">
      <c r="A23" s="51" t="s">
        <v>917</v>
      </c>
      <c r="B23" s="52" t="s">
        <v>918</v>
      </c>
      <c r="C23" s="53">
        <f t="shared" si="0"/>
        <v>1632</v>
      </c>
      <c r="D23" s="53">
        <v>1632</v>
      </c>
      <c r="E23" s="53"/>
      <c r="F23" s="52" t="s">
        <v>919</v>
      </c>
      <c r="G23" s="52" t="s">
        <v>920</v>
      </c>
      <c r="H23" s="51" t="s">
        <v>921</v>
      </c>
      <c r="I23" s="95" t="s">
        <v>922</v>
      </c>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26"/>
      <c r="HO23" s="26"/>
      <c r="HP23" s="26"/>
      <c r="HQ23" s="26"/>
      <c r="HR23" s="27"/>
      <c r="HS23" s="27"/>
      <c r="HT23" s="27"/>
      <c r="HU23" s="27"/>
      <c r="HV23" s="27"/>
      <c r="HW23" s="27"/>
      <c r="HX23" s="27"/>
      <c r="HY23" s="27"/>
      <c r="HZ23" s="27"/>
      <c r="IA23" s="27"/>
      <c r="IB23" s="27"/>
      <c r="IC23" s="27"/>
      <c r="ID23" s="27"/>
      <c r="IE23" s="27"/>
      <c r="IF23" s="27"/>
      <c r="IG23" s="27"/>
      <c r="IH23" s="28"/>
      <c r="II23" s="28"/>
      <c r="IJ23" s="28"/>
      <c r="IK23" s="28"/>
      <c r="IL23" s="28"/>
      <c r="IM23" s="28"/>
      <c r="IN23" s="28"/>
      <c r="IO23" s="28"/>
      <c r="IP23" s="28"/>
      <c r="IQ23" s="28"/>
      <c r="IR23" s="28"/>
      <c r="IS23" s="28"/>
      <c r="IT23" s="29"/>
      <c r="IU23" s="29"/>
      <c r="IV23" s="29"/>
    </row>
    <row r="24" spans="1:256" s="6" customFormat="1" ht="89.25" customHeight="1">
      <c r="A24" s="51" t="s">
        <v>923</v>
      </c>
      <c r="B24" s="52" t="s">
        <v>918</v>
      </c>
      <c r="C24" s="53">
        <f t="shared" si="0"/>
        <v>898</v>
      </c>
      <c r="D24" s="53">
        <v>898</v>
      </c>
      <c r="E24" s="53"/>
      <c r="F24" s="52" t="s">
        <v>924</v>
      </c>
      <c r="G24" s="52" t="s">
        <v>925</v>
      </c>
      <c r="H24" s="51" t="s">
        <v>926</v>
      </c>
      <c r="I24" s="91" t="s">
        <v>927</v>
      </c>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26"/>
      <c r="HO24" s="26"/>
      <c r="HP24" s="26"/>
      <c r="HQ24" s="26"/>
      <c r="HR24" s="27"/>
      <c r="HS24" s="27"/>
      <c r="HT24" s="27"/>
      <c r="HU24" s="27"/>
      <c r="HV24" s="27"/>
      <c r="HW24" s="27"/>
      <c r="HX24" s="27"/>
      <c r="HY24" s="27"/>
      <c r="HZ24" s="27"/>
      <c r="IA24" s="27"/>
      <c r="IB24" s="27"/>
      <c r="IC24" s="27"/>
      <c r="ID24" s="27"/>
      <c r="IE24" s="27"/>
      <c r="IF24" s="27"/>
      <c r="IG24" s="27"/>
      <c r="IH24" s="28"/>
      <c r="II24" s="28"/>
      <c r="IJ24" s="28"/>
      <c r="IK24" s="28"/>
      <c r="IL24" s="28"/>
      <c r="IM24" s="28"/>
      <c r="IN24" s="28"/>
      <c r="IO24" s="28"/>
      <c r="IP24" s="28"/>
      <c r="IQ24" s="28"/>
      <c r="IR24" s="28"/>
      <c r="IS24" s="28"/>
      <c r="IT24" s="29"/>
      <c r="IU24" s="29"/>
      <c r="IV24" s="29"/>
    </row>
    <row r="25" spans="1:256" s="11" customFormat="1" ht="102" customHeight="1">
      <c r="A25" s="51" t="s">
        <v>928</v>
      </c>
      <c r="B25" s="52" t="s">
        <v>929</v>
      </c>
      <c r="C25" s="53">
        <f t="shared" si="0"/>
        <v>23.97</v>
      </c>
      <c r="D25" s="53">
        <v>18.3</v>
      </c>
      <c r="E25" s="53">
        <v>5.67</v>
      </c>
      <c r="F25" s="54" t="s">
        <v>930</v>
      </c>
      <c r="G25" s="52" t="s">
        <v>931</v>
      </c>
      <c r="H25" s="51" t="s">
        <v>932</v>
      </c>
      <c r="I25" s="91" t="s">
        <v>933</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6"/>
      <c r="HO25" s="26"/>
      <c r="HP25" s="26"/>
      <c r="HQ25" s="26"/>
      <c r="HR25" s="27"/>
      <c r="HS25" s="27"/>
      <c r="HT25" s="27"/>
      <c r="HU25" s="27"/>
      <c r="HV25" s="27"/>
      <c r="HW25" s="27"/>
      <c r="HX25" s="27"/>
      <c r="HY25" s="27"/>
      <c r="HZ25" s="27"/>
      <c r="IA25" s="27"/>
      <c r="IB25" s="27"/>
      <c r="IC25" s="27"/>
      <c r="ID25" s="27"/>
      <c r="IE25" s="27"/>
      <c r="IF25" s="27"/>
      <c r="IG25" s="27"/>
      <c r="IH25" s="28"/>
      <c r="II25" s="28"/>
      <c r="IJ25" s="28"/>
      <c r="IK25" s="28"/>
      <c r="IL25" s="28"/>
      <c r="IM25" s="28"/>
      <c r="IN25" s="28"/>
      <c r="IO25" s="28"/>
      <c r="IP25" s="28"/>
      <c r="IQ25" s="28"/>
      <c r="IR25" s="28"/>
      <c r="IS25" s="28"/>
      <c r="IT25" s="29"/>
      <c r="IU25" s="29"/>
      <c r="IV25" s="29"/>
    </row>
    <row r="26" spans="1:256" s="11" customFormat="1" ht="66" customHeight="1">
      <c r="A26" s="51" t="s">
        <v>934</v>
      </c>
      <c r="B26" s="52" t="s">
        <v>911</v>
      </c>
      <c r="C26" s="53">
        <f t="shared" si="0"/>
        <v>300</v>
      </c>
      <c r="D26" s="53">
        <v>300</v>
      </c>
      <c r="E26" s="53"/>
      <c r="F26" s="54" t="s">
        <v>935</v>
      </c>
      <c r="G26" s="52" t="s">
        <v>936</v>
      </c>
      <c r="H26" s="51" t="s">
        <v>937</v>
      </c>
      <c r="I26" s="91" t="s">
        <v>938</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6"/>
      <c r="HO26" s="26"/>
      <c r="HP26" s="26"/>
      <c r="HQ26" s="26"/>
      <c r="HR26" s="27"/>
      <c r="HS26" s="27"/>
      <c r="HT26" s="27"/>
      <c r="HU26" s="27"/>
      <c r="HV26" s="27"/>
      <c r="HW26" s="27"/>
      <c r="HX26" s="27"/>
      <c r="HY26" s="27"/>
      <c r="HZ26" s="27"/>
      <c r="IA26" s="27"/>
      <c r="IB26" s="27"/>
      <c r="IC26" s="27"/>
      <c r="ID26" s="27"/>
      <c r="IE26" s="27"/>
      <c r="IF26" s="27"/>
      <c r="IG26" s="27"/>
      <c r="IH26" s="28"/>
      <c r="II26" s="28"/>
      <c r="IJ26" s="28"/>
      <c r="IK26" s="28"/>
      <c r="IL26" s="28"/>
      <c r="IM26" s="28"/>
      <c r="IN26" s="28"/>
      <c r="IO26" s="28"/>
      <c r="IP26" s="28"/>
      <c r="IQ26" s="28"/>
      <c r="IR26" s="28"/>
      <c r="IS26" s="28"/>
      <c r="IT26" s="29"/>
      <c r="IU26" s="29"/>
      <c r="IV26" s="29"/>
    </row>
    <row r="27" spans="1:256" s="7" customFormat="1" ht="100.5" customHeight="1">
      <c r="A27" s="51" t="s">
        <v>939</v>
      </c>
      <c r="B27" s="52" t="s">
        <v>911</v>
      </c>
      <c r="C27" s="53">
        <f t="shared" si="0"/>
        <v>29.7</v>
      </c>
      <c r="D27" s="53">
        <v>29.7</v>
      </c>
      <c r="E27" s="53"/>
      <c r="F27" s="54" t="s">
        <v>940</v>
      </c>
      <c r="G27" s="52" t="s">
        <v>941</v>
      </c>
      <c r="H27" s="51" t="s">
        <v>942</v>
      </c>
      <c r="I27" s="91" t="s">
        <v>943</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6"/>
      <c r="HO27" s="26"/>
      <c r="HP27" s="26"/>
      <c r="HQ27" s="26"/>
      <c r="HR27" s="27"/>
      <c r="HS27" s="27"/>
      <c r="HT27" s="27"/>
      <c r="HU27" s="27"/>
      <c r="HV27" s="27"/>
      <c r="HW27" s="27"/>
      <c r="HX27" s="27"/>
      <c r="HY27" s="27"/>
      <c r="HZ27" s="27"/>
      <c r="IA27" s="27"/>
      <c r="IB27" s="27"/>
      <c r="IC27" s="27"/>
      <c r="ID27" s="27"/>
      <c r="IE27" s="27"/>
      <c r="IF27" s="27"/>
      <c r="IG27" s="27"/>
      <c r="IH27" s="28"/>
      <c r="II27" s="28"/>
      <c r="IJ27" s="28"/>
      <c r="IK27" s="28"/>
      <c r="IL27" s="28"/>
      <c r="IM27" s="28"/>
      <c r="IN27" s="28"/>
      <c r="IO27" s="28"/>
      <c r="IP27" s="28"/>
      <c r="IQ27" s="28"/>
      <c r="IR27" s="28"/>
      <c r="IS27" s="28"/>
      <c r="IT27" s="29"/>
      <c r="IU27" s="29"/>
      <c r="IV27" s="29"/>
    </row>
    <row r="28" spans="1:256" s="7" customFormat="1" ht="100.5" customHeight="1">
      <c r="A28" s="51" t="s">
        <v>944</v>
      </c>
      <c r="B28" s="52" t="s">
        <v>911</v>
      </c>
      <c r="C28" s="53">
        <f t="shared" si="0"/>
        <v>114.8994</v>
      </c>
      <c r="D28" s="53">
        <v>114.8994</v>
      </c>
      <c r="E28" s="53"/>
      <c r="F28" s="54" t="s">
        <v>945</v>
      </c>
      <c r="G28" s="52" t="s">
        <v>946</v>
      </c>
      <c r="H28" s="51" t="s">
        <v>947</v>
      </c>
      <c r="I28" s="91" t="s">
        <v>948</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6"/>
      <c r="HO28" s="26"/>
      <c r="HP28" s="26"/>
      <c r="HQ28" s="26"/>
      <c r="HR28" s="27"/>
      <c r="HS28" s="27"/>
      <c r="HT28" s="27"/>
      <c r="HU28" s="27"/>
      <c r="HV28" s="27"/>
      <c r="HW28" s="27"/>
      <c r="HX28" s="27"/>
      <c r="HY28" s="27"/>
      <c r="HZ28" s="27"/>
      <c r="IA28" s="27"/>
      <c r="IB28" s="27"/>
      <c r="IC28" s="27"/>
      <c r="ID28" s="27"/>
      <c r="IE28" s="27"/>
      <c r="IF28" s="27"/>
      <c r="IG28" s="27"/>
      <c r="IH28" s="28"/>
      <c r="II28" s="28"/>
      <c r="IJ28" s="28"/>
      <c r="IK28" s="28"/>
      <c r="IL28" s="28"/>
      <c r="IM28" s="28"/>
      <c r="IN28" s="28"/>
      <c r="IO28" s="28"/>
      <c r="IP28" s="28"/>
      <c r="IQ28" s="28"/>
      <c r="IR28" s="28"/>
      <c r="IS28" s="28"/>
      <c r="IT28" s="29"/>
      <c r="IU28" s="29"/>
      <c r="IV28" s="29"/>
    </row>
    <row r="29" spans="1:256" s="6" customFormat="1" ht="69.75" customHeight="1">
      <c r="A29" s="66" t="s">
        <v>949</v>
      </c>
      <c r="B29" s="52" t="s">
        <v>950</v>
      </c>
      <c r="C29" s="53">
        <f t="shared" si="0"/>
        <v>350</v>
      </c>
      <c r="D29" s="53">
        <v>350</v>
      </c>
      <c r="E29" s="53"/>
      <c r="F29" s="54" t="s">
        <v>951</v>
      </c>
      <c r="G29" s="52" t="s">
        <v>952</v>
      </c>
      <c r="H29" s="67" t="s">
        <v>953</v>
      </c>
      <c r="I29" s="91" t="s">
        <v>954</v>
      </c>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92"/>
      <c r="HN29" s="26"/>
      <c r="HO29" s="26"/>
      <c r="HP29" s="26"/>
      <c r="HQ29" s="26"/>
      <c r="HR29" s="27"/>
      <c r="HS29" s="27"/>
      <c r="HT29" s="27"/>
      <c r="HU29" s="27"/>
      <c r="HV29" s="27"/>
      <c r="HW29" s="27"/>
      <c r="HX29" s="27"/>
      <c r="HY29" s="27"/>
      <c r="HZ29" s="27"/>
      <c r="IA29" s="27"/>
      <c r="IB29" s="27"/>
      <c r="IC29" s="27"/>
      <c r="ID29" s="27"/>
      <c r="IE29" s="27"/>
      <c r="IF29" s="27"/>
      <c r="IG29" s="27"/>
      <c r="IH29" s="28"/>
      <c r="II29" s="28"/>
      <c r="IJ29" s="28"/>
      <c r="IK29" s="28"/>
      <c r="IL29" s="28"/>
      <c r="IM29" s="28"/>
      <c r="IN29" s="28"/>
      <c r="IO29" s="28"/>
      <c r="IP29" s="28"/>
      <c r="IQ29" s="28"/>
      <c r="IR29" s="28"/>
      <c r="IS29" s="28"/>
      <c r="IT29" s="29"/>
      <c r="IU29" s="29"/>
      <c r="IV29" s="29"/>
    </row>
    <row r="30" spans="1:256" s="12" customFormat="1" ht="54" customHeight="1">
      <c r="A30" s="51" t="s">
        <v>955</v>
      </c>
      <c r="B30" s="52" t="s">
        <v>956</v>
      </c>
      <c r="C30" s="53">
        <f t="shared" si="0"/>
        <v>592</v>
      </c>
      <c r="D30" s="53">
        <v>592</v>
      </c>
      <c r="E30" s="53"/>
      <c r="F30" s="54" t="s">
        <v>957</v>
      </c>
      <c r="G30" s="52" t="s">
        <v>958</v>
      </c>
      <c r="H30" s="67" t="s">
        <v>953</v>
      </c>
      <c r="I30" s="91" t="s">
        <v>954</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9"/>
      <c r="HN30" s="26"/>
      <c r="HO30" s="26"/>
      <c r="HP30" s="26"/>
      <c r="HQ30" s="26"/>
      <c r="HR30" s="27"/>
      <c r="HS30" s="27"/>
      <c r="HT30" s="27"/>
      <c r="HU30" s="27"/>
      <c r="HV30" s="27"/>
      <c r="HW30" s="27"/>
      <c r="HX30" s="27"/>
      <c r="HY30" s="27"/>
      <c r="HZ30" s="27"/>
      <c r="IA30" s="27"/>
      <c r="IB30" s="27"/>
      <c r="IC30" s="27"/>
      <c r="ID30" s="27"/>
      <c r="IE30" s="27"/>
      <c r="IF30" s="27"/>
      <c r="IG30" s="27"/>
      <c r="IH30" s="28"/>
      <c r="II30" s="28"/>
      <c r="IJ30" s="28"/>
      <c r="IK30" s="28"/>
      <c r="IL30" s="28"/>
      <c r="IM30" s="28"/>
      <c r="IN30" s="28"/>
      <c r="IO30" s="28"/>
      <c r="IP30" s="28"/>
      <c r="IQ30" s="28"/>
      <c r="IR30" s="28"/>
      <c r="IS30" s="28"/>
      <c r="IT30" s="29"/>
      <c r="IU30" s="29"/>
      <c r="IV30" s="29"/>
    </row>
    <row r="31" spans="1:256" s="13" customFormat="1" ht="24" customHeight="1">
      <c r="A31" s="48" t="s">
        <v>959</v>
      </c>
      <c r="B31" s="47"/>
      <c r="C31" s="57">
        <f>SUM(C32)</f>
        <v>2395.8405000000002</v>
      </c>
      <c r="D31" s="57">
        <f>SUM(D32)</f>
        <v>518.8405</v>
      </c>
      <c r="E31" s="57">
        <f>SUM(E32)</f>
        <v>1877</v>
      </c>
      <c r="F31" s="47"/>
      <c r="G31" s="47" t="s">
        <v>960</v>
      </c>
      <c r="H31" s="50"/>
      <c r="I31" s="88"/>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89"/>
      <c r="HN31" s="103"/>
      <c r="HO31" s="103"/>
      <c r="HP31" s="103"/>
      <c r="HQ31" s="103"/>
      <c r="HR31" s="106"/>
      <c r="HS31" s="106"/>
      <c r="HT31" s="106"/>
      <c r="HU31" s="106"/>
      <c r="HV31" s="106"/>
      <c r="HW31" s="106"/>
      <c r="HX31" s="106"/>
      <c r="HY31" s="106"/>
      <c r="HZ31" s="106"/>
      <c r="IA31" s="106"/>
      <c r="IB31" s="106"/>
      <c r="IC31" s="106"/>
      <c r="ID31" s="106"/>
      <c r="IE31" s="106"/>
      <c r="IF31" s="106"/>
      <c r="IG31" s="106"/>
      <c r="IH31" s="110"/>
      <c r="II31" s="110"/>
      <c r="IJ31" s="110"/>
      <c r="IK31" s="110"/>
      <c r="IL31" s="110"/>
      <c r="IM31" s="110"/>
      <c r="IN31" s="110"/>
      <c r="IO31" s="110"/>
      <c r="IP31" s="110"/>
      <c r="IQ31" s="110"/>
      <c r="IR31" s="110"/>
      <c r="IS31" s="110"/>
      <c r="IT31" s="16"/>
      <c r="IU31" s="16"/>
      <c r="IV31" s="16"/>
    </row>
    <row r="32" spans="1:256" s="11" customFormat="1" ht="61.5" customHeight="1">
      <c r="A32" s="68" t="s">
        <v>961</v>
      </c>
      <c r="B32" s="69" t="s">
        <v>962</v>
      </c>
      <c r="C32" s="68">
        <f>D32+E32</f>
        <v>2395.8405000000002</v>
      </c>
      <c r="D32" s="68">
        <f>232.2605+286.58</f>
        <v>518.8405</v>
      </c>
      <c r="E32" s="68">
        <f>14+1863</f>
        <v>1877</v>
      </c>
      <c r="F32" s="70" t="s">
        <v>963</v>
      </c>
      <c r="G32" s="69" t="s">
        <v>964</v>
      </c>
      <c r="H32" s="68" t="s">
        <v>961</v>
      </c>
      <c r="I32" s="97"/>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92"/>
      <c r="HN32" s="26"/>
      <c r="HO32" s="26"/>
      <c r="HP32" s="26"/>
      <c r="HQ32" s="26"/>
      <c r="HR32" s="27"/>
      <c r="HS32" s="27"/>
      <c r="HT32" s="27"/>
      <c r="HU32" s="27"/>
      <c r="HV32" s="27"/>
      <c r="HW32" s="27"/>
      <c r="HX32" s="27"/>
      <c r="HY32" s="27"/>
      <c r="HZ32" s="27"/>
      <c r="IA32" s="27"/>
      <c r="IB32" s="27"/>
      <c r="IC32" s="27"/>
      <c r="ID32" s="27"/>
      <c r="IE32" s="27"/>
      <c r="IF32" s="27"/>
      <c r="IG32" s="27"/>
      <c r="IH32" s="28"/>
      <c r="II32" s="28"/>
      <c r="IJ32" s="28"/>
      <c r="IK32" s="28"/>
      <c r="IL32" s="28"/>
      <c r="IM32" s="28"/>
      <c r="IN32" s="28"/>
      <c r="IO32" s="28"/>
      <c r="IP32" s="28"/>
      <c r="IQ32" s="28"/>
      <c r="IR32" s="28"/>
      <c r="IS32" s="28"/>
      <c r="IT32" s="29"/>
      <c r="IU32" s="29"/>
      <c r="IV32" s="29"/>
    </row>
    <row r="33" spans="1:256" s="11" customFormat="1" ht="75.75" customHeight="1">
      <c r="A33" s="71"/>
      <c r="B33" s="72"/>
      <c r="C33" s="71"/>
      <c r="D33" s="71"/>
      <c r="E33" s="71"/>
      <c r="F33" s="73" t="s">
        <v>965</v>
      </c>
      <c r="G33" s="72"/>
      <c r="H33" s="71"/>
      <c r="I33" s="91" t="s">
        <v>966</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92"/>
      <c r="HN33" s="26"/>
      <c r="HO33" s="26"/>
      <c r="HP33" s="26"/>
      <c r="HQ33" s="26"/>
      <c r="HR33" s="27"/>
      <c r="HS33" s="27"/>
      <c r="HT33" s="27"/>
      <c r="HU33" s="27"/>
      <c r="HV33" s="27"/>
      <c r="HW33" s="27"/>
      <c r="HX33" s="27"/>
      <c r="HY33" s="27"/>
      <c r="HZ33" s="27"/>
      <c r="IA33" s="27"/>
      <c r="IB33" s="27"/>
      <c r="IC33" s="27"/>
      <c r="ID33" s="27"/>
      <c r="IE33" s="27"/>
      <c r="IF33" s="27"/>
      <c r="IG33" s="27"/>
      <c r="IH33" s="28"/>
      <c r="II33" s="28"/>
      <c r="IJ33" s="28"/>
      <c r="IK33" s="28"/>
      <c r="IL33" s="28"/>
      <c r="IM33" s="28"/>
      <c r="IN33" s="28"/>
      <c r="IO33" s="28"/>
      <c r="IP33" s="28"/>
      <c r="IQ33" s="28"/>
      <c r="IR33" s="28"/>
      <c r="IS33" s="28"/>
      <c r="IT33" s="29"/>
      <c r="IU33" s="29"/>
      <c r="IV33" s="29"/>
    </row>
    <row r="34" spans="1:256" s="14" customFormat="1" ht="24.75" customHeight="1">
      <c r="A34" s="48" t="s">
        <v>967</v>
      </c>
      <c r="B34" s="47"/>
      <c r="C34" s="57">
        <f>SUM(C35:C35)</f>
        <v>33</v>
      </c>
      <c r="D34" s="57">
        <f>SUM(D35:D35)</f>
        <v>0</v>
      </c>
      <c r="E34" s="57">
        <f>SUM(E35:E35)</f>
        <v>33</v>
      </c>
      <c r="F34" s="47"/>
      <c r="G34" s="74"/>
      <c r="H34" s="58"/>
      <c r="I34" s="93"/>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103"/>
      <c r="HO34" s="103"/>
      <c r="HP34" s="103"/>
      <c r="HQ34" s="103"/>
      <c r="IU34" s="16"/>
      <c r="IV34" s="16"/>
    </row>
    <row r="35" spans="1:256" s="15" customFormat="1" ht="66.75" customHeight="1">
      <c r="A35" s="51" t="s">
        <v>968</v>
      </c>
      <c r="B35" s="52" t="s">
        <v>969</v>
      </c>
      <c r="C35" s="53">
        <f>D35+E35</f>
        <v>33</v>
      </c>
      <c r="D35" s="53"/>
      <c r="E35" s="53">
        <v>33</v>
      </c>
      <c r="F35" s="54" t="s">
        <v>970</v>
      </c>
      <c r="G35" s="52" t="s">
        <v>971</v>
      </c>
      <c r="H35" s="51" t="s">
        <v>972</v>
      </c>
      <c r="I35" s="91" t="s">
        <v>973</v>
      </c>
      <c r="HN35" s="26"/>
      <c r="HO35" s="26"/>
      <c r="HP35" s="26"/>
      <c r="HQ35" s="26"/>
      <c r="IU35" s="29"/>
      <c r="IV35" s="29"/>
    </row>
    <row r="36" spans="1:256" s="14" customFormat="1" ht="24.75" customHeight="1">
      <c r="A36" s="48" t="s">
        <v>974</v>
      </c>
      <c r="B36" s="47"/>
      <c r="C36" s="57">
        <f>SUM(C37:C40)</f>
        <v>896.5</v>
      </c>
      <c r="D36" s="57">
        <f>SUM(D37:D40)</f>
        <v>896.5</v>
      </c>
      <c r="E36" s="57">
        <f>SUM(E37:E40)</f>
        <v>0</v>
      </c>
      <c r="F36" s="47"/>
      <c r="G36" s="47"/>
      <c r="H36" s="50"/>
      <c r="I36" s="88"/>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103"/>
      <c r="HO36" s="103"/>
      <c r="HP36" s="103"/>
      <c r="HQ36" s="103"/>
      <c r="HR36" s="106"/>
      <c r="HS36" s="106"/>
      <c r="HT36" s="106"/>
      <c r="HU36" s="106"/>
      <c r="HV36" s="106"/>
      <c r="HW36" s="106"/>
      <c r="HX36" s="106"/>
      <c r="HY36" s="106"/>
      <c r="HZ36" s="106"/>
      <c r="IA36" s="106"/>
      <c r="IB36" s="106"/>
      <c r="IC36" s="106"/>
      <c r="ID36" s="106"/>
      <c r="IE36" s="106"/>
      <c r="IF36" s="106"/>
      <c r="IG36" s="106"/>
      <c r="IH36" s="110"/>
      <c r="II36" s="110"/>
      <c r="IJ36" s="110"/>
      <c r="IK36" s="110"/>
      <c r="IL36" s="110"/>
      <c r="IM36" s="110"/>
      <c r="IN36" s="110"/>
      <c r="IO36" s="110"/>
      <c r="IP36" s="110"/>
      <c r="IQ36" s="110"/>
      <c r="IR36" s="110"/>
      <c r="IS36" s="110"/>
      <c r="IT36" s="16"/>
      <c r="IU36" s="16"/>
      <c r="IV36" s="16"/>
    </row>
    <row r="37" spans="1:9" ht="39.75" customHeight="1">
      <c r="A37" s="66" t="s">
        <v>975</v>
      </c>
      <c r="B37" s="52" t="s">
        <v>976</v>
      </c>
      <c r="C37" s="53">
        <f>D37+E37</f>
        <v>411.5</v>
      </c>
      <c r="D37" s="53">
        <v>411.5</v>
      </c>
      <c r="E37" s="53"/>
      <c r="F37" s="54" t="s">
        <v>977</v>
      </c>
      <c r="G37" s="52" t="s">
        <v>978</v>
      </c>
      <c r="H37" s="51" t="s">
        <v>979</v>
      </c>
      <c r="I37" s="91" t="s">
        <v>980</v>
      </c>
    </row>
    <row r="38" spans="1:9" ht="37.5" customHeight="1">
      <c r="A38" s="51" t="s">
        <v>981</v>
      </c>
      <c r="B38" s="52" t="s">
        <v>982</v>
      </c>
      <c r="C38" s="53">
        <f>D38+E38</f>
        <v>117</v>
      </c>
      <c r="D38" s="53">
        <v>117</v>
      </c>
      <c r="E38" s="53"/>
      <c r="F38" s="54" t="s">
        <v>983</v>
      </c>
      <c r="G38" s="52" t="s">
        <v>984</v>
      </c>
      <c r="H38" s="51" t="s">
        <v>979</v>
      </c>
      <c r="I38" s="91" t="s">
        <v>980</v>
      </c>
    </row>
    <row r="39" spans="1:9" ht="36" customHeight="1">
      <c r="A39" s="51" t="s">
        <v>985</v>
      </c>
      <c r="B39" s="52" t="s">
        <v>986</v>
      </c>
      <c r="C39" s="53">
        <f>D39+E39</f>
        <v>260</v>
      </c>
      <c r="D39" s="53">
        <v>260</v>
      </c>
      <c r="E39" s="53"/>
      <c r="F39" s="54" t="s">
        <v>987</v>
      </c>
      <c r="G39" s="52" t="s">
        <v>988</v>
      </c>
      <c r="H39" s="51" t="s">
        <v>989</v>
      </c>
      <c r="I39" s="91" t="s">
        <v>990</v>
      </c>
    </row>
    <row r="40" spans="1:9" ht="72.75" customHeight="1">
      <c r="A40" s="51" t="s">
        <v>991</v>
      </c>
      <c r="B40" s="52" t="s">
        <v>992</v>
      </c>
      <c r="C40" s="53">
        <f>D40+E40</f>
        <v>108</v>
      </c>
      <c r="D40" s="53">
        <v>108</v>
      </c>
      <c r="E40" s="53"/>
      <c r="F40" s="54" t="s">
        <v>993</v>
      </c>
      <c r="G40" s="52" t="s">
        <v>994</v>
      </c>
      <c r="H40" s="51" t="s">
        <v>995</v>
      </c>
      <c r="I40" s="91" t="s">
        <v>996</v>
      </c>
    </row>
    <row r="41" spans="1:253" s="16" customFormat="1" ht="24.75" customHeight="1">
      <c r="A41" s="48" t="s">
        <v>997</v>
      </c>
      <c r="B41" s="47"/>
      <c r="C41" s="57">
        <f>SUM(C42:C51)</f>
        <v>17563.86</v>
      </c>
      <c r="D41" s="57">
        <f>SUM(D42:D51)</f>
        <v>17384.27</v>
      </c>
      <c r="E41" s="57">
        <f>SUM(E42:E51)</f>
        <v>179.59</v>
      </c>
      <c r="F41" s="47"/>
      <c r="G41" s="47" t="s">
        <v>960</v>
      </c>
      <c r="H41" s="50"/>
      <c r="I41" s="88"/>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103"/>
      <c r="HO41" s="103"/>
      <c r="HP41" s="103"/>
      <c r="HQ41" s="103"/>
      <c r="HR41" s="106"/>
      <c r="HS41" s="106"/>
      <c r="HT41" s="106"/>
      <c r="HU41" s="106"/>
      <c r="HV41" s="106"/>
      <c r="HW41" s="106"/>
      <c r="HX41" s="106"/>
      <c r="HY41" s="106"/>
      <c r="HZ41" s="106"/>
      <c r="IA41" s="106"/>
      <c r="IB41" s="106"/>
      <c r="IC41" s="106"/>
      <c r="ID41" s="106"/>
      <c r="IE41" s="106"/>
      <c r="IF41" s="106"/>
      <c r="IG41" s="106"/>
      <c r="IH41" s="110"/>
      <c r="II41" s="110"/>
      <c r="IJ41" s="110"/>
      <c r="IK41" s="110"/>
      <c r="IL41" s="110"/>
      <c r="IM41" s="110"/>
      <c r="IN41" s="110"/>
      <c r="IO41" s="110"/>
      <c r="IP41" s="110"/>
      <c r="IQ41" s="110"/>
      <c r="IR41" s="110"/>
      <c r="IS41" s="110"/>
    </row>
    <row r="42" spans="1:253" s="17" customFormat="1" ht="126" customHeight="1">
      <c r="A42" s="75" t="s">
        <v>998</v>
      </c>
      <c r="B42" s="76" t="s">
        <v>999</v>
      </c>
      <c r="C42" s="53">
        <v>30</v>
      </c>
      <c r="D42" s="53">
        <v>30</v>
      </c>
      <c r="E42" s="53"/>
      <c r="F42" s="54" t="s">
        <v>1000</v>
      </c>
      <c r="G42" s="52" t="s">
        <v>1001</v>
      </c>
      <c r="H42" s="51" t="s">
        <v>1002</v>
      </c>
      <c r="I42" s="98">
        <v>2120101</v>
      </c>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104"/>
      <c r="HO42" s="104"/>
      <c r="HP42" s="104"/>
      <c r="HQ42" s="104"/>
      <c r="HR42" s="107"/>
      <c r="HS42" s="107"/>
      <c r="HT42" s="107"/>
      <c r="HU42" s="107"/>
      <c r="HV42" s="107"/>
      <c r="HW42" s="107"/>
      <c r="HX42" s="107"/>
      <c r="HY42" s="107"/>
      <c r="HZ42" s="107"/>
      <c r="IA42" s="107"/>
      <c r="IB42" s="107"/>
      <c r="IC42" s="107"/>
      <c r="ID42" s="107"/>
      <c r="IE42" s="107"/>
      <c r="IF42" s="107"/>
      <c r="IG42" s="107"/>
      <c r="IH42" s="111"/>
      <c r="II42" s="111"/>
      <c r="IJ42" s="111"/>
      <c r="IK42" s="111"/>
      <c r="IL42" s="111"/>
      <c r="IM42" s="111"/>
      <c r="IN42" s="111"/>
      <c r="IO42" s="111"/>
      <c r="IP42" s="111"/>
      <c r="IQ42" s="111"/>
      <c r="IR42" s="111"/>
      <c r="IS42" s="111"/>
    </row>
    <row r="43" spans="1:9" ht="66" customHeight="1">
      <c r="A43" s="76" t="s">
        <v>1003</v>
      </c>
      <c r="B43" s="76" t="s">
        <v>999</v>
      </c>
      <c r="C43" s="53">
        <f aca="true" t="shared" si="1" ref="C43:C51">D43+E43</f>
        <v>47.02</v>
      </c>
      <c r="D43" s="53">
        <v>47.02</v>
      </c>
      <c r="E43" s="53"/>
      <c r="F43" s="54" t="s">
        <v>1004</v>
      </c>
      <c r="G43" s="52" t="s">
        <v>1005</v>
      </c>
      <c r="H43" s="55" t="s">
        <v>1006</v>
      </c>
      <c r="I43" s="90">
        <v>2010101</v>
      </c>
    </row>
    <row r="44" spans="1:9" ht="66" customHeight="1">
      <c r="A44" s="76" t="s">
        <v>1007</v>
      </c>
      <c r="B44" s="76" t="s">
        <v>1008</v>
      </c>
      <c r="C44" s="53">
        <f t="shared" si="1"/>
        <v>22.48</v>
      </c>
      <c r="D44" s="53">
        <v>22.48</v>
      </c>
      <c r="E44" s="53"/>
      <c r="F44" s="54" t="s">
        <v>1009</v>
      </c>
      <c r="G44" s="52" t="s">
        <v>1010</v>
      </c>
      <c r="H44" s="55" t="s">
        <v>1011</v>
      </c>
      <c r="I44" s="90">
        <v>2010205</v>
      </c>
    </row>
    <row r="45" spans="1:9" ht="54" customHeight="1">
      <c r="A45" s="51" t="s">
        <v>1012</v>
      </c>
      <c r="B45" s="52" t="s">
        <v>1013</v>
      </c>
      <c r="C45" s="53">
        <f t="shared" si="1"/>
        <v>1605.5</v>
      </c>
      <c r="D45" s="53">
        <f>169*8.5</f>
        <v>1436.5</v>
      </c>
      <c r="E45" s="53">
        <v>169</v>
      </c>
      <c r="F45" s="54" t="s">
        <v>1014</v>
      </c>
      <c r="G45" s="52" t="s">
        <v>1015</v>
      </c>
      <c r="H45" s="51" t="s">
        <v>1016</v>
      </c>
      <c r="I45" s="91" t="s">
        <v>1017</v>
      </c>
    </row>
    <row r="46" spans="1:9" ht="57" customHeight="1">
      <c r="A46" s="51" t="s">
        <v>1018</v>
      </c>
      <c r="B46" s="52" t="s">
        <v>1013</v>
      </c>
      <c r="C46" s="53">
        <f t="shared" si="1"/>
        <v>9.53</v>
      </c>
      <c r="D46" s="53"/>
      <c r="E46" s="53">
        <v>9.53</v>
      </c>
      <c r="F46" s="54" t="s">
        <v>1019</v>
      </c>
      <c r="G46" s="52" t="s">
        <v>1020</v>
      </c>
      <c r="H46" s="51" t="s">
        <v>1016</v>
      </c>
      <c r="I46" s="91" t="s">
        <v>1017</v>
      </c>
    </row>
    <row r="47" spans="1:9" ht="69.75" customHeight="1">
      <c r="A47" s="51" t="s">
        <v>1021</v>
      </c>
      <c r="B47" s="52" t="s">
        <v>1013</v>
      </c>
      <c r="C47" s="53">
        <f t="shared" si="1"/>
        <v>2.06</v>
      </c>
      <c r="D47" s="53">
        <v>1</v>
      </c>
      <c r="E47" s="53">
        <v>1.06</v>
      </c>
      <c r="F47" s="54" t="s">
        <v>1022</v>
      </c>
      <c r="G47" s="52" t="s">
        <v>1023</v>
      </c>
      <c r="H47" s="51" t="s">
        <v>1016</v>
      </c>
      <c r="I47" s="91" t="s">
        <v>1017</v>
      </c>
    </row>
    <row r="48" spans="1:9" ht="48.75" customHeight="1">
      <c r="A48" s="51" t="s">
        <v>1024</v>
      </c>
      <c r="B48" s="52" t="s">
        <v>858</v>
      </c>
      <c r="C48" s="53">
        <f t="shared" si="1"/>
        <v>8</v>
      </c>
      <c r="D48" s="53">
        <v>8</v>
      </c>
      <c r="E48" s="53"/>
      <c r="F48" s="54" t="s">
        <v>1025</v>
      </c>
      <c r="G48" s="52" t="s">
        <v>1026</v>
      </c>
      <c r="H48" s="51" t="s">
        <v>1016</v>
      </c>
      <c r="I48" s="91" t="s">
        <v>1017</v>
      </c>
    </row>
    <row r="49" spans="1:9" ht="66" customHeight="1">
      <c r="A49" s="51" t="s">
        <v>1027</v>
      </c>
      <c r="B49" s="52" t="s">
        <v>1028</v>
      </c>
      <c r="C49" s="53">
        <f t="shared" si="1"/>
        <v>20</v>
      </c>
      <c r="D49" s="53">
        <v>20</v>
      </c>
      <c r="E49" s="53"/>
      <c r="F49" s="54" t="s">
        <v>1029</v>
      </c>
      <c r="G49" s="52" t="s">
        <v>1030</v>
      </c>
      <c r="H49" s="51" t="s">
        <v>1031</v>
      </c>
      <c r="I49" s="91" t="s">
        <v>1032</v>
      </c>
    </row>
    <row r="50" spans="1:9" ht="110.25" customHeight="1">
      <c r="A50" s="52" t="s">
        <v>1033</v>
      </c>
      <c r="B50" s="52" t="s">
        <v>1034</v>
      </c>
      <c r="C50" s="53">
        <f t="shared" si="1"/>
        <v>14438.27</v>
      </c>
      <c r="D50" s="53">
        <f>3261.13+11177.14</f>
        <v>14438.27</v>
      </c>
      <c r="E50" s="53"/>
      <c r="F50" s="54" t="s">
        <v>1035</v>
      </c>
      <c r="G50" s="52" t="s">
        <v>1036</v>
      </c>
      <c r="H50" s="51" t="s">
        <v>1037</v>
      </c>
      <c r="I50" s="91" t="s">
        <v>1038</v>
      </c>
    </row>
    <row r="51" spans="1:9" s="18" customFormat="1" ht="53.25" customHeight="1">
      <c r="A51" s="51" t="s">
        <v>1039</v>
      </c>
      <c r="B51" s="52" t="s">
        <v>1034</v>
      </c>
      <c r="C51" s="53">
        <f t="shared" si="1"/>
        <v>1381</v>
      </c>
      <c r="D51" s="53">
        <v>1381</v>
      </c>
      <c r="E51" s="77"/>
      <c r="F51" s="66" t="s">
        <v>247</v>
      </c>
      <c r="G51" s="78"/>
      <c r="H51" s="79" t="s">
        <v>1039</v>
      </c>
      <c r="I51" s="78"/>
    </row>
    <row r="52" spans="3:5" s="18" customFormat="1" ht="14.25" customHeight="1">
      <c r="C52" s="80"/>
      <c r="D52" s="80"/>
      <c r="E52" s="80"/>
    </row>
    <row r="53" spans="1:5" s="18" customFormat="1" ht="14.25" customHeight="1">
      <c r="A53" s="81"/>
      <c r="C53" s="80"/>
      <c r="D53" s="80"/>
      <c r="E53" s="80"/>
    </row>
    <row r="54" spans="3:5" s="18" customFormat="1" ht="14.25" customHeight="1">
      <c r="C54" s="80"/>
      <c r="D54" s="80"/>
      <c r="E54" s="80"/>
    </row>
    <row r="55" spans="3:5" s="18" customFormat="1" ht="14.25" customHeight="1">
      <c r="C55" s="80"/>
      <c r="D55" s="80"/>
      <c r="E55" s="80"/>
    </row>
  </sheetData>
  <sheetProtection/>
  <mergeCells count="17">
    <mergeCell ref="A1:I1"/>
    <mergeCell ref="G2:I2"/>
    <mergeCell ref="D3:E3"/>
    <mergeCell ref="H3:I3"/>
    <mergeCell ref="A3:A4"/>
    <mergeCell ref="A32:A33"/>
    <mergeCell ref="B3:B4"/>
    <mergeCell ref="B32:B33"/>
    <mergeCell ref="C3:C4"/>
    <mergeCell ref="C32:C33"/>
    <mergeCell ref="D32:D33"/>
    <mergeCell ref="E32:E33"/>
    <mergeCell ref="F3:F4"/>
    <mergeCell ref="G3:G4"/>
    <mergeCell ref="G32:G33"/>
    <mergeCell ref="H32:H33"/>
    <mergeCell ref="I21:I22"/>
  </mergeCells>
  <printOptions horizontalCentered="1"/>
  <pageMargins left="0.16" right="0.16" top="0.51" bottom="0.38" header="0.35" footer="0.16"/>
  <pageSetup orientation="landscape"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workbookViewId="0" topLeftCell="A4">
      <selection activeCell="K26" sqref="K26"/>
    </sheetView>
  </sheetViews>
  <sheetFormatPr defaultColWidth="6.875" defaultRowHeight="14.25" customHeight="1"/>
  <sheetData/>
  <sheetProtection/>
  <printOptions horizontalCentered="1"/>
  <pageMargins left="0.16" right="0.12" top="0.67" bottom="0.94" header="0.5"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9"/>
  <sheetViews>
    <sheetView workbookViewId="0" topLeftCell="A1">
      <selection activeCell="C5" sqref="C5"/>
    </sheetView>
  </sheetViews>
  <sheetFormatPr defaultColWidth="20.50390625" defaultRowHeight="30" customHeight="1"/>
  <cols>
    <col min="1" max="1" width="31.125" style="178" customWidth="1"/>
    <col min="2" max="2" width="17.25390625" style="130" customWidth="1"/>
    <col min="3" max="3" width="15.75390625" style="179" customWidth="1"/>
    <col min="4" max="4" width="19.00390625" style="0" customWidth="1"/>
    <col min="5" max="5" width="20.00390625" style="0" customWidth="1"/>
    <col min="6" max="6" width="16.50390625" style="0" customWidth="1"/>
  </cols>
  <sheetData>
    <row r="1" spans="1:6" ht="69" customHeight="1">
      <c r="A1" s="180" t="s">
        <v>59</v>
      </c>
      <c r="B1" s="180"/>
      <c r="C1" s="180"/>
      <c r="D1" s="180"/>
      <c r="E1" s="180"/>
      <c r="F1" s="180"/>
    </row>
    <row r="2" spans="1:6" ht="34.5" customHeight="1">
      <c r="A2" s="181" t="s">
        <v>60</v>
      </c>
      <c r="D2" s="182" t="s">
        <v>2</v>
      </c>
      <c r="E2" s="182"/>
      <c r="F2" s="182"/>
    </row>
    <row r="3" spans="1:6" ht="51.75" customHeight="1">
      <c r="A3" s="183" t="s">
        <v>61</v>
      </c>
      <c r="B3" s="184" t="s">
        <v>4</v>
      </c>
      <c r="C3" s="185" t="s">
        <v>5</v>
      </c>
      <c r="D3" s="186" t="s">
        <v>62</v>
      </c>
      <c r="E3" s="186" t="s">
        <v>63</v>
      </c>
      <c r="F3" s="184" t="s">
        <v>8</v>
      </c>
    </row>
    <row r="4" spans="1:6" s="177" customFormat="1" ht="51.75" customHeight="1">
      <c r="A4" s="415" t="s">
        <v>64</v>
      </c>
      <c r="B4" s="193">
        <f>SUM(B5:B6)</f>
        <v>900</v>
      </c>
      <c r="C4" s="193">
        <f>SUM(C5:C9)</f>
        <v>3556</v>
      </c>
      <c r="D4" s="416">
        <f aca="true" t="shared" si="0" ref="D4:D9">C4/B4*100</f>
        <v>395.1111111111111</v>
      </c>
      <c r="E4" s="417">
        <f>C4/-3*100</f>
        <v>-118533.33333333333</v>
      </c>
      <c r="F4" s="191"/>
    </row>
    <row r="5" spans="1:6" ht="51.75" customHeight="1">
      <c r="A5" s="187" t="s">
        <v>65</v>
      </c>
      <c r="B5" s="188">
        <v>450</v>
      </c>
      <c r="C5" s="188">
        <v>3109</v>
      </c>
      <c r="D5" s="418">
        <f t="shared" si="0"/>
        <v>690.8888888888889</v>
      </c>
      <c r="E5" s="419">
        <f>C5/-3*100</f>
        <v>-103633.33333333333</v>
      </c>
      <c r="F5" s="186"/>
    </row>
    <row r="6" spans="1:6" ht="51.75" customHeight="1">
      <c r="A6" s="187" t="s">
        <v>66</v>
      </c>
      <c r="B6" s="184">
        <v>450</v>
      </c>
      <c r="C6" s="184">
        <v>63</v>
      </c>
      <c r="D6" s="189">
        <f t="shared" si="0"/>
        <v>14.000000000000002</v>
      </c>
      <c r="E6" s="412" t="e">
        <f>C6/0*100</f>
        <v>#DIV/0!</v>
      </c>
      <c r="F6" s="186"/>
    </row>
    <row r="7" spans="1:6" ht="51.75" customHeight="1">
      <c r="A7" s="190" t="s">
        <v>67</v>
      </c>
      <c r="B7" s="184"/>
      <c r="C7" s="188">
        <v>363</v>
      </c>
      <c r="D7" s="189" t="e">
        <f t="shared" si="0"/>
        <v>#DIV/0!</v>
      </c>
      <c r="E7" s="412" t="e">
        <f>C7/0*100</f>
        <v>#DIV/0!</v>
      </c>
      <c r="F7" s="186"/>
    </row>
    <row r="8" spans="1:6" ht="51.75" customHeight="1">
      <c r="A8" s="190" t="s">
        <v>68</v>
      </c>
      <c r="B8" s="184"/>
      <c r="C8" s="185">
        <v>19</v>
      </c>
      <c r="D8" s="189" t="e">
        <f t="shared" si="0"/>
        <v>#DIV/0!</v>
      </c>
      <c r="E8" s="412" t="e">
        <f>C8/0*100</f>
        <v>#DIV/0!</v>
      </c>
      <c r="F8" s="186"/>
    </row>
    <row r="9" spans="1:6" ht="30" customHeight="1">
      <c r="A9" s="190" t="s">
        <v>69</v>
      </c>
      <c r="B9" s="184"/>
      <c r="C9" s="185">
        <v>2</v>
      </c>
      <c r="D9" s="189" t="e">
        <f t="shared" si="0"/>
        <v>#DIV/0!</v>
      </c>
      <c r="E9" s="412" t="e">
        <f>C9/0*100</f>
        <v>#DIV/0!</v>
      </c>
      <c r="F9" s="186"/>
    </row>
  </sheetData>
  <sheetProtection/>
  <mergeCells count="2">
    <mergeCell ref="A1:F1"/>
    <mergeCell ref="D2:F2"/>
  </mergeCells>
  <printOptions horizontalCentered="1"/>
  <pageMargins left="0.75" right="0.75" top="0.87" bottom="0.67"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F17"/>
  <sheetViews>
    <sheetView workbookViewId="0" topLeftCell="A1">
      <selection activeCell="A3" sqref="A3"/>
    </sheetView>
  </sheetViews>
  <sheetFormatPr defaultColWidth="20.50390625" defaultRowHeight="30" customHeight="1"/>
  <cols>
    <col min="1" max="1" width="46.125" style="178" customWidth="1"/>
    <col min="2" max="2" width="15.25390625" style="130" customWidth="1"/>
    <col min="3" max="3" width="15.25390625" style="179" customWidth="1"/>
    <col min="4" max="5" width="15.25390625" style="0" customWidth="1"/>
    <col min="6" max="6" width="10.375" style="0" customWidth="1"/>
  </cols>
  <sheetData>
    <row r="1" spans="1:6" ht="53.25" customHeight="1">
      <c r="A1" s="180" t="s">
        <v>70</v>
      </c>
      <c r="B1" s="180"/>
      <c r="C1" s="180"/>
      <c r="D1" s="180"/>
      <c r="E1" s="180"/>
      <c r="F1" s="180"/>
    </row>
    <row r="2" spans="1:6" ht="19.5" customHeight="1">
      <c r="A2" s="181" t="s">
        <v>71</v>
      </c>
      <c r="D2" s="182" t="s">
        <v>2</v>
      </c>
      <c r="E2" s="182"/>
      <c r="F2" s="182"/>
    </row>
    <row r="3" spans="1:6" ht="63.75" customHeight="1">
      <c r="A3" s="183" t="s">
        <v>72</v>
      </c>
      <c r="B3" s="188" t="s">
        <v>4</v>
      </c>
      <c r="C3" s="188" t="s">
        <v>5</v>
      </c>
      <c r="D3" s="410" t="s">
        <v>62</v>
      </c>
      <c r="E3" s="410" t="s">
        <v>63</v>
      </c>
      <c r="F3" s="184" t="s">
        <v>8</v>
      </c>
    </row>
    <row r="4" spans="1:6" s="177" customFormat="1" ht="27" customHeight="1">
      <c r="A4" s="191" t="s">
        <v>73</v>
      </c>
      <c r="B4" s="192">
        <f>SUM(B5:B17)</f>
        <v>26362</v>
      </c>
      <c r="C4" s="192">
        <f>SUM(C5:C17)</f>
        <v>22383</v>
      </c>
      <c r="D4" s="411">
        <f>C4/B4*100</f>
        <v>84.90630452924664</v>
      </c>
      <c r="E4" s="412">
        <f>C4/7406*100</f>
        <v>302.227923305428</v>
      </c>
      <c r="F4" s="191"/>
    </row>
    <row r="5" spans="1:6" s="359" customFormat="1" ht="27" customHeight="1">
      <c r="A5" s="187" t="s">
        <v>74</v>
      </c>
      <c r="B5" s="184"/>
      <c r="C5" s="184"/>
      <c r="D5" s="411" t="e">
        <f aca="true" t="shared" si="0" ref="D5:D17">C5/B5*100</f>
        <v>#DIV/0!</v>
      </c>
      <c r="E5" s="412">
        <f>C5/7406*100</f>
        <v>0</v>
      </c>
      <c r="F5" s="413"/>
    </row>
    <row r="6" spans="1:6" s="359" customFormat="1" ht="27" customHeight="1">
      <c r="A6" s="187" t="s">
        <v>75</v>
      </c>
      <c r="B6" s="184">
        <v>1110</v>
      </c>
      <c r="C6" s="184">
        <v>1040</v>
      </c>
      <c r="D6" s="411">
        <f t="shared" si="0"/>
        <v>93.69369369369369</v>
      </c>
      <c r="E6" s="412">
        <f>C6/622*100</f>
        <v>167.20257234726688</v>
      </c>
      <c r="F6" s="413"/>
    </row>
    <row r="7" spans="1:6" s="359" customFormat="1" ht="27" customHeight="1">
      <c r="A7" s="187" t="s">
        <v>76</v>
      </c>
      <c r="B7" s="184">
        <v>75</v>
      </c>
      <c r="C7" s="184">
        <v>3</v>
      </c>
      <c r="D7" s="411">
        <f t="shared" si="0"/>
        <v>4</v>
      </c>
      <c r="E7" s="412" t="e">
        <f>C7/0*100</f>
        <v>#DIV/0!</v>
      </c>
      <c r="F7" s="413"/>
    </row>
    <row r="8" spans="1:6" ht="27" customHeight="1">
      <c r="A8" s="187" t="s">
        <v>77</v>
      </c>
      <c r="B8" s="184">
        <v>20718</v>
      </c>
      <c r="C8" s="184">
        <v>18659</v>
      </c>
      <c r="D8" s="411">
        <f t="shared" si="0"/>
        <v>90.06178202529202</v>
      </c>
      <c r="E8" s="412">
        <f>C8/5138*100</f>
        <v>363.15687037757885</v>
      </c>
      <c r="F8" s="186"/>
    </row>
    <row r="9" spans="1:6" ht="27" customHeight="1">
      <c r="A9" s="187" t="s">
        <v>78</v>
      </c>
      <c r="B9" s="184">
        <v>363</v>
      </c>
      <c r="C9" s="184"/>
      <c r="D9" s="411">
        <f t="shared" si="0"/>
        <v>0</v>
      </c>
      <c r="E9" s="412">
        <f>C9/7406*100</f>
        <v>0</v>
      </c>
      <c r="F9" s="186"/>
    </row>
    <row r="10" spans="1:6" ht="27" customHeight="1">
      <c r="A10" s="187" t="s">
        <v>79</v>
      </c>
      <c r="B10" s="184">
        <v>253</v>
      </c>
      <c r="C10" s="184">
        <v>143</v>
      </c>
      <c r="D10" s="411">
        <f t="shared" si="0"/>
        <v>56.52173913043478</v>
      </c>
      <c r="E10" s="412" t="e">
        <f>C10/0*100</f>
        <v>#DIV/0!</v>
      </c>
      <c r="F10" s="186"/>
    </row>
    <row r="11" spans="1:6" ht="27" customHeight="1">
      <c r="A11" s="187" t="s">
        <v>80</v>
      </c>
      <c r="B11" s="184">
        <v>63</v>
      </c>
      <c r="C11" s="184"/>
      <c r="D11" s="411">
        <f t="shared" si="0"/>
        <v>0</v>
      </c>
      <c r="E11" s="412">
        <f>C11/7406*100</f>
        <v>0</v>
      </c>
      <c r="F11" s="186"/>
    </row>
    <row r="12" spans="1:6" s="359" customFormat="1" ht="27" customHeight="1">
      <c r="A12" s="187" t="s">
        <v>81</v>
      </c>
      <c r="B12" s="414">
        <v>85</v>
      </c>
      <c r="C12" s="413">
        <v>85</v>
      </c>
      <c r="D12" s="411">
        <f t="shared" si="0"/>
        <v>100</v>
      </c>
      <c r="E12" s="412" t="e">
        <f>C12/0*100</f>
        <v>#DIV/0!</v>
      </c>
      <c r="F12" s="413"/>
    </row>
    <row r="13" spans="1:6" ht="27" customHeight="1">
      <c r="A13" s="187" t="s">
        <v>82</v>
      </c>
      <c r="B13" s="184"/>
      <c r="C13" s="185"/>
      <c r="D13" s="411" t="e">
        <f t="shared" si="0"/>
        <v>#DIV/0!</v>
      </c>
      <c r="E13" s="412">
        <f>C13/7406*100</f>
        <v>0</v>
      </c>
      <c r="F13" s="186"/>
    </row>
    <row r="14" spans="1:6" ht="27" customHeight="1">
      <c r="A14" s="410" t="s">
        <v>83</v>
      </c>
      <c r="B14" s="184">
        <v>259</v>
      </c>
      <c r="C14" s="184"/>
      <c r="D14" s="411">
        <f t="shared" si="0"/>
        <v>0</v>
      </c>
      <c r="E14" s="412">
        <f>C14/7406*100</f>
        <v>0</v>
      </c>
      <c r="F14" s="186"/>
    </row>
    <row r="15" spans="1:6" ht="27" customHeight="1">
      <c r="A15" s="187" t="s">
        <v>84</v>
      </c>
      <c r="B15" s="184">
        <v>2299</v>
      </c>
      <c r="C15" s="184">
        <v>2054</v>
      </c>
      <c r="D15" s="411">
        <f t="shared" si="0"/>
        <v>89.34319269247499</v>
      </c>
      <c r="E15" s="412">
        <f>C15/210*100</f>
        <v>978.0952380952382</v>
      </c>
      <c r="F15" s="186"/>
    </row>
    <row r="16" spans="1:6" ht="27" customHeight="1">
      <c r="A16" s="187" t="s">
        <v>85</v>
      </c>
      <c r="B16" s="184">
        <v>809</v>
      </c>
      <c r="C16" s="184">
        <v>71</v>
      </c>
      <c r="D16" s="411">
        <f t="shared" si="0"/>
        <v>8.776266996291717</v>
      </c>
      <c r="E16" s="412">
        <f>C16/1326*100</f>
        <v>5.3544494720965305</v>
      </c>
      <c r="F16" s="186"/>
    </row>
    <row r="17" spans="1:6" ht="27" customHeight="1">
      <c r="A17" s="190" t="s">
        <v>86</v>
      </c>
      <c r="B17" s="184">
        <v>328</v>
      </c>
      <c r="C17" s="185">
        <v>328</v>
      </c>
      <c r="D17" s="411">
        <f t="shared" si="0"/>
        <v>100</v>
      </c>
      <c r="E17" s="412">
        <f>C17/110*100</f>
        <v>298.1818181818182</v>
      </c>
      <c r="F17" s="186"/>
    </row>
  </sheetData>
  <sheetProtection/>
  <mergeCells count="2">
    <mergeCell ref="A1:F1"/>
    <mergeCell ref="D2:F2"/>
  </mergeCells>
  <printOptions horizontalCentered="1"/>
  <pageMargins left="0.75" right="0.75" top="0.43" bottom="0.39" header="0.38" footer="0.26"/>
  <pageSetup orientation="landscape" paperSize="9"/>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D13" sqref="D13"/>
    </sheetView>
  </sheetViews>
  <sheetFormatPr defaultColWidth="8.75390625" defaultRowHeight="14.25"/>
  <cols>
    <col min="1" max="1" width="26.125" style="186" customWidth="1"/>
    <col min="2" max="2" width="10.875" style="0" customWidth="1"/>
    <col min="3" max="3" width="15.875" style="0" customWidth="1"/>
    <col min="4" max="4" width="16.625" style="0" customWidth="1"/>
    <col min="5" max="6" width="18.125" style="0" customWidth="1"/>
    <col min="7" max="7" width="9.125" style="0" customWidth="1"/>
  </cols>
  <sheetData>
    <row r="1" spans="1:7" ht="16.5" customHeight="1">
      <c r="A1" s="371"/>
      <c r="B1" s="372"/>
      <c r="C1" s="373"/>
      <c r="D1" s="373"/>
      <c r="E1" s="373"/>
      <c r="F1" s="373"/>
      <c r="G1" s="373"/>
    </row>
    <row r="2" spans="1:7" ht="34.5" customHeight="1">
      <c r="A2" s="374" t="s">
        <v>87</v>
      </c>
      <c r="B2" s="374"/>
      <c r="C2" s="374"/>
      <c r="D2" s="374"/>
      <c r="E2" s="374"/>
      <c r="F2" s="374"/>
      <c r="G2" s="374"/>
    </row>
    <row r="3" spans="1:7" ht="13.5" customHeight="1" hidden="1">
      <c r="A3" s="375"/>
      <c r="B3" s="376"/>
      <c r="C3" s="376"/>
      <c r="D3" s="376"/>
      <c r="E3" s="376"/>
      <c r="F3" s="376"/>
      <c r="G3" s="376"/>
    </row>
    <row r="4" spans="1:7" ht="24" customHeight="1">
      <c r="A4" s="371" t="s">
        <v>88</v>
      </c>
      <c r="B4" s="377"/>
      <c r="C4" s="377"/>
      <c r="D4" s="377"/>
      <c r="E4" s="377"/>
      <c r="F4" s="378" t="s">
        <v>2</v>
      </c>
      <c r="G4" s="377"/>
    </row>
    <row r="5" spans="1:7" ht="12" customHeight="1">
      <c r="A5" s="378"/>
      <c r="B5" s="378"/>
      <c r="C5" s="372"/>
      <c r="D5" s="372"/>
      <c r="E5" s="378"/>
      <c r="G5" s="372"/>
    </row>
    <row r="6" spans="1:7" s="369" customFormat="1" ht="39" customHeight="1">
      <c r="A6" s="379" t="s">
        <v>89</v>
      </c>
      <c r="B6" s="379"/>
      <c r="C6" s="380" t="s">
        <v>90</v>
      </c>
      <c r="D6" s="380" t="s">
        <v>91</v>
      </c>
      <c r="E6" s="381" t="s">
        <v>92</v>
      </c>
      <c r="F6" s="381" t="s">
        <v>93</v>
      </c>
      <c r="G6" s="380" t="s">
        <v>8</v>
      </c>
    </row>
    <row r="7" spans="1:7" ht="27" customHeight="1">
      <c r="A7" s="382" t="s">
        <v>94</v>
      </c>
      <c r="B7" s="383" t="s">
        <v>95</v>
      </c>
      <c r="C7" s="384">
        <v>2240.445437</v>
      </c>
      <c r="D7" s="385">
        <v>86</v>
      </c>
      <c r="E7" s="386">
        <v>6666.4702</v>
      </c>
      <c r="F7" s="387">
        <f>C7-E7</f>
        <v>-4426.024762999999</v>
      </c>
      <c r="G7" s="388"/>
    </row>
    <row r="8" spans="1:7" ht="26.25" customHeight="1">
      <c r="A8" s="389"/>
      <c r="B8" s="390" t="s">
        <v>96</v>
      </c>
      <c r="C8" s="391"/>
      <c r="D8" s="391"/>
      <c r="E8" s="392"/>
      <c r="F8" s="387"/>
      <c r="G8" s="393"/>
    </row>
    <row r="9" spans="1:7" ht="26.25" customHeight="1">
      <c r="A9" s="389" t="s">
        <v>97</v>
      </c>
      <c r="B9" s="394"/>
      <c r="C9" s="395">
        <v>2630.362</v>
      </c>
      <c r="D9" s="396">
        <v>1914.798</v>
      </c>
      <c r="E9" s="392">
        <v>1880.0337</v>
      </c>
      <c r="F9" s="387">
        <f>C9-E9</f>
        <v>750.3283000000001</v>
      </c>
      <c r="G9" s="397"/>
    </row>
    <row r="10" spans="1:7" ht="26.25" customHeight="1">
      <c r="A10" s="389" t="s">
        <v>98</v>
      </c>
      <c r="B10" s="398"/>
      <c r="C10" s="395">
        <f>111078748.79/10000</f>
        <v>11107.874879</v>
      </c>
      <c r="D10" s="396">
        <v>3841.8209</v>
      </c>
      <c r="E10" s="392">
        <v>9040.1093</v>
      </c>
      <c r="F10" s="387">
        <f>C10-E10</f>
        <v>2067.765579000001</v>
      </c>
      <c r="G10" s="397"/>
    </row>
    <row r="11" spans="1:7" ht="26.25" customHeight="1">
      <c r="A11" s="380"/>
      <c r="B11" s="399"/>
      <c r="C11" s="400"/>
      <c r="D11" s="401"/>
      <c r="E11" s="400"/>
      <c r="F11" s="400"/>
      <c r="G11" s="400"/>
    </row>
    <row r="12" spans="1:7" ht="26.25" customHeight="1">
      <c r="A12" s="380"/>
      <c r="B12" s="399"/>
      <c r="C12" s="400"/>
      <c r="D12" s="400"/>
      <c r="E12" s="400"/>
      <c r="F12" s="400"/>
      <c r="G12" s="400"/>
    </row>
    <row r="13" spans="1:7" ht="26.25" customHeight="1">
      <c r="A13" s="380"/>
      <c r="B13" s="399"/>
      <c r="C13" s="400"/>
      <c r="D13" s="400"/>
      <c r="E13" s="400"/>
      <c r="F13" s="400"/>
      <c r="G13" s="400"/>
    </row>
    <row r="14" spans="1:7" ht="26.25" customHeight="1">
      <c r="A14" s="380"/>
      <c r="B14" s="399"/>
      <c r="C14" s="400"/>
      <c r="D14" s="400"/>
      <c r="E14" s="400"/>
      <c r="F14" s="400"/>
      <c r="G14" s="400"/>
    </row>
    <row r="15" spans="1:7" ht="26.25" customHeight="1">
      <c r="A15" s="402"/>
      <c r="B15" s="403"/>
      <c r="C15" s="400"/>
      <c r="D15" s="400"/>
      <c r="E15" s="400"/>
      <c r="F15" s="400"/>
      <c r="G15" s="400"/>
    </row>
    <row r="16" spans="1:7" s="370" customFormat="1" ht="26.25" customHeight="1">
      <c r="A16" s="404" t="s">
        <v>99</v>
      </c>
      <c r="B16" s="404"/>
      <c r="C16" s="405">
        <f>SUM(C7:C15)</f>
        <v>15978.682316</v>
      </c>
      <c r="D16" s="405">
        <f>SUM(D7:D15)</f>
        <v>5842.6189</v>
      </c>
      <c r="E16" s="405">
        <f>SUM(E7:E15)</f>
        <v>17586.6132</v>
      </c>
      <c r="F16" s="406"/>
      <c r="G16" s="406">
        <f>SUM(G7:G15)</f>
        <v>0</v>
      </c>
    </row>
    <row r="17" spans="1:7" ht="26.25" customHeight="1">
      <c r="A17" s="407"/>
      <c r="B17" s="373"/>
      <c r="C17" s="372"/>
      <c r="D17" s="372"/>
      <c r="E17" s="372"/>
      <c r="F17" s="372"/>
      <c r="G17" s="372"/>
    </row>
    <row r="18" ht="14.25">
      <c r="A18" s="408"/>
    </row>
    <row r="19" ht="14.25">
      <c r="A19" s="408"/>
    </row>
    <row r="20" ht="14.25">
      <c r="A20" s="408"/>
    </row>
    <row r="21" ht="14.25">
      <c r="A21" s="408"/>
    </row>
    <row r="22" ht="14.25">
      <c r="A22" s="408"/>
    </row>
    <row r="23" ht="14.25">
      <c r="A23" s="408"/>
    </row>
    <row r="24" ht="14.25">
      <c r="A24" s="408"/>
    </row>
    <row r="25" ht="14.25">
      <c r="A25" s="408"/>
    </row>
    <row r="26" ht="14.25">
      <c r="A26" s="408"/>
    </row>
    <row r="27" ht="14.25">
      <c r="A27" s="408"/>
    </row>
    <row r="28" ht="14.25">
      <c r="A28" s="408"/>
    </row>
    <row r="29" ht="14.25">
      <c r="A29" s="408"/>
    </row>
    <row r="30" ht="14.25">
      <c r="A30" s="408"/>
    </row>
    <row r="31" ht="14.25">
      <c r="A31" s="408"/>
    </row>
    <row r="32" ht="14.25">
      <c r="A32" s="408"/>
    </row>
    <row r="33" ht="14.25">
      <c r="A33" s="408"/>
    </row>
    <row r="34" ht="14.25">
      <c r="A34" s="408"/>
    </row>
    <row r="35" ht="14.25">
      <c r="A35" s="408"/>
    </row>
    <row r="36" ht="14.25">
      <c r="A36" s="408"/>
    </row>
    <row r="37" ht="14.25">
      <c r="A37" s="408"/>
    </row>
    <row r="38" ht="14.25">
      <c r="A38" s="408"/>
    </row>
    <row r="39" ht="14.25">
      <c r="A39" s="408"/>
    </row>
    <row r="40" ht="14.25">
      <c r="A40" s="408"/>
    </row>
    <row r="41" ht="14.25">
      <c r="A41" s="408"/>
    </row>
    <row r="42" ht="14.25">
      <c r="A42" s="408"/>
    </row>
    <row r="43" ht="14.25">
      <c r="A43" s="408"/>
    </row>
    <row r="44" ht="14.25">
      <c r="A44" s="408"/>
    </row>
    <row r="45" ht="14.25">
      <c r="A45" s="408"/>
    </row>
    <row r="46" ht="14.25">
      <c r="A46" s="408"/>
    </row>
    <row r="47" ht="14.25">
      <c r="A47" s="408"/>
    </row>
    <row r="48" ht="14.25">
      <c r="A48" s="408"/>
    </row>
    <row r="49" ht="14.25">
      <c r="A49" s="409"/>
    </row>
  </sheetData>
  <sheetProtection/>
  <mergeCells count="10">
    <mergeCell ref="A2:G2"/>
    <mergeCell ref="A9:B9"/>
    <mergeCell ref="A10:B10"/>
    <mergeCell ref="A11:B11"/>
    <mergeCell ref="A12:B12"/>
    <mergeCell ref="A13:B13"/>
    <mergeCell ref="A14:B14"/>
    <mergeCell ref="A15:B15"/>
    <mergeCell ref="A16:B16"/>
    <mergeCell ref="A7:A8"/>
  </mergeCells>
  <printOptions horizontalCentered="1"/>
  <pageMargins left="0.75" right="0.75" top="0.98" bottom="0.98"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H10"/>
  <sheetViews>
    <sheetView zoomScaleSheetLayoutView="100" workbookViewId="0" topLeftCell="A1">
      <selection activeCell="C6" sqref="C6"/>
    </sheetView>
  </sheetViews>
  <sheetFormatPr defaultColWidth="9.00390625" defaultRowHeight="14.25"/>
  <cols>
    <col min="1" max="1" width="29.75390625" style="359" customWidth="1"/>
    <col min="2" max="2" width="18.75390625" style="359" customWidth="1"/>
    <col min="3" max="3" width="17.75390625" style="359" customWidth="1"/>
    <col min="4" max="4" width="18.00390625" style="359" customWidth="1"/>
    <col min="5" max="5" width="20.875" style="359" customWidth="1"/>
    <col min="6" max="6" width="12.125" style="359" customWidth="1"/>
    <col min="7" max="16384" width="9.00390625" style="359" customWidth="1"/>
  </cols>
  <sheetData>
    <row r="1" spans="1:8" ht="37.5" customHeight="1">
      <c r="A1" s="360" t="s">
        <v>100</v>
      </c>
      <c r="B1" s="360"/>
      <c r="C1" s="360"/>
      <c r="D1" s="360"/>
      <c r="E1" s="360"/>
      <c r="F1" s="360"/>
      <c r="G1" s="361"/>
      <c r="H1" s="361"/>
    </row>
    <row r="2" spans="1:8" ht="35.25" customHeight="1">
      <c r="A2" s="362" t="s">
        <v>101</v>
      </c>
      <c r="B2" s="362"/>
      <c r="C2" s="362"/>
      <c r="D2" s="362"/>
      <c r="E2" s="362"/>
      <c r="F2" s="363" t="s">
        <v>2</v>
      </c>
      <c r="G2" s="361"/>
      <c r="H2" s="361"/>
    </row>
    <row r="3" spans="1:8" ht="33" customHeight="1">
      <c r="A3" s="364" t="s">
        <v>102</v>
      </c>
      <c r="B3" s="364" t="s">
        <v>103</v>
      </c>
      <c r="C3" s="364" t="s">
        <v>35</v>
      </c>
      <c r="D3" s="364" t="s">
        <v>104</v>
      </c>
      <c r="E3" s="364" t="s">
        <v>105</v>
      </c>
      <c r="F3" s="364" t="s">
        <v>8</v>
      </c>
      <c r="G3" s="361"/>
      <c r="H3" s="361"/>
    </row>
    <row r="4" spans="1:8" ht="33" customHeight="1">
      <c r="A4" s="364" t="s">
        <v>106</v>
      </c>
      <c r="B4" s="365">
        <v>0</v>
      </c>
      <c r="C4" s="365">
        <v>0</v>
      </c>
      <c r="D4" s="365">
        <v>0</v>
      </c>
      <c r="E4" s="365">
        <v>0</v>
      </c>
      <c r="F4" s="366"/>
      <c r="G4" s="361"/>
      <c r="H4" s="361"/>
    </row>
    <row r="5" spans="1:8" ht="33" customHeight="1">
      <c r="A5" s="368" t="s">
        <v>107</v>
      </c>
      <c r="B5" s="365">
        <v>0</v>
      </c>
      <c r="C5" s="365">
        <v>0</v>
      </c>
      <c r="D5" s="365">
        <v>0</v>
      </c>
      <c r="E5" s="365">
        <v>0</v>
      </c>
      <c r="F5" s="366"/>
      <c r="G5" s="361"/>
      <c r="H5" s="361"/>
    </row>
    <row r="6" spans="1:8" ht="33" customHeight="1">
      <c r="A6" s="368" t="s">
        <v>108</v>
      </c>
      <c r="B6" s="365">
        <v>0</v>
      </c>
      <c r="C6" s="365">
        <v>0</v>
      </c>
      <c r="D6" s="365">
        <v>0</v>
      </c>
      <c r="E6" s="365">
        <v>0</v>
      </c>
      <c r="F6" s="366"/>
      <c r="G6" s="361"/>
      <c r="H6" s="361"/>
    </row>
    <row r="7" spans="1:8" ht="33" customHeight="1">
      <c r="A7" s="368" t="s">
        <v>109</v>
      </c>
      <c r="B7" s="365">
        <v>0</v>
      </c>
      <c r="C7" s="365">
        <v>0</v>
      </c>
      <c r="D7" s="365">
        <v>0</v>
      </c>
      <c r="E7" s="365">
        <v>0</v>
      </c>
      <c r="F7" s="366"/>
      <c r="G7" s="361"/>
      <c r="H7" s="361"/>
    </row>
    <row r="8" spans="1:8" ht="33" customHeight="1">
      <c r="A8" s="368" t="s">
        <v>110</v>
      </c>
      <c r="B8" s="365">
        <v>0</v>
      </c>
      <c r="C8" s="365">
        <v>0</v>
      </c>
      <c r="D8" s="365">
        <v>0</v>
      </c>
      <c r="E8" s="365">
        <v>0</v>
      </c>
      <c r="F8" s="366"/>
      <c r="G8" s="361"/>
      <c r="H8" s="361"/>
    </row>
    <row r="9" spans="1:8" ht="33" customHeight="1">
      <c r="A9" s="368" t="s">
        <v>111</v>
      </c>
      <c r="B9" s="365">
        <v>0</v>
      </c>
      <c r="C9" s="365">
        <v>0</v>
      </c>
      <c r="D9" s="365">
        <v>0</v>
      </c>
      <c r="E9" s="365">
        <v>0</v>
      </c>
      <c r="F9" s="366"/>
      <c r="G9" s="361"/>
      <c r="H9" s="361"/>
    </row>
    <row r="10" spans="1:8" ht="33" customHeight="1">
      <c r="A10" s="364" t="s">
        <v>112</v>
      </c>
      <c r="B10" s="365">
        <v>0</v>
      </c>
      <c r="C10" s="365">
        <v>0</v>
      </c>
      <c r="D10" s="365">
        <v>0</v>
      </c>
      <c r="E10" s="365">
        <v>0</v>
      </c>
      <c r="F10" s="366"/>
      <c r="G10" s="361"/>
      <c r="H10" s="361"/>
    </row>
  </sheetData>
  <sheetProtection/>
  <mergeCells count="1">
    <mergeCell ref="A1:F1"/>
  </mergeCells>
  <printOptions horizontalCentered="1"/>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5"/>
  <sheetViews>
    <sheetView workbookViewId="0" topLeftCell="A1">
      <selection activeCell="A6" sqref="A6"/>
    </sheetView>
  </sheetViews>
  <sheetFormatPr defaultColWidth="9.00390625" defaultRowHeight="14.25"/>
  <cols>
    <col min="1" max="1" width="29.75390625" style="359" customWidth="1"/>
    <col min="2" max="2" width="18.75390625" style="359" customWidth="1"/>
    <col min="3" max="3" width="17.75390625" style="359" customWidth="1"/>
    <col min="4" max="4" width="18.00390625" style="359" customWidth="1"/>
    <col min="5" max="5" width="20.875" style="359" customWidth="1"/>
    <col min="6" max="6" width="12.125" style="359" customWidth="1"/>
    <col min="7" max="16384" width="9.00390625" style="359" customWidth="1"/>
  </cols>
  <sheetData>
    <row r="1" spans="1:8" ht="20.25">
      <c r="A1" s="360" t="s">
        <v>113</v>
      </c>
      <c r="B1" s="360"/>
      <c r="C1" s="360"/>
      <c r="D1" s="360"/>
      <c r="E1" s="360"/>
      <c r="F1" s="360"/>
      <c r="G1" s="361"/>
      <c r="H1" s="361"/>
    </row>
    <row r="2" spans="1:8" ht="26.25" customHeight="1">
      <c r="A2" s="362" t="s">
        <v>114</v>
      </c>
      <c r="B2" s="362"/>
      <c r="C2" s="362"/>
      <c r="D2" s="362"/>
      <c r="E2" s="362"/>
      <c r="F2" s="363" t="s">
        <v>2</v>
      </c>
      <c r="G2" s="361"/>
      <c r="H2" s="361"/>
    </row>
    <row r="3" spans="1:8" ht="27" customHeight="1">
      <c r="A3" s="364" t="s">
        <v>102</v>
      </c>
      <c r="B3" s="364" t="s">
        <v>103</v>
      </c>
      <c r="C3" s="364" t="s">
        <v>35</v>
      </c>
      <c r="D3" s="364" t="s">
        <v>104</v>
      </c>
      <c r="E3" s="364" t="s">
        <v>105</v>
      </c>
      <c r="F3" s="364" t="s">
        <v>8</v>
      </c>
      <c r="G3" s="361"/>
      <c r="H3" s="361"/>
    </row>
    <row r="4" spans="1:8" ht="27" customHeight="1">
      <c r="A4" s="364" t="s">
        <v>112</v>
      </c>
      <c r="B4" s="365">
        <v>0</v>
      </c>
      <c r="C4" s="365">
        <v>0</v>
      </c>
      <c r="D4" s="365">
        <v>0</v>
      </c>
      <c r="E4" s="365">
        <v>0</v>
      </c>
      <c r="F4" s="366"/>
      <c r="G4" s="361"/>
      <c r="H4" s="361"/>
    </row>
    <row r="5" spans="1:8" ht="27" customHeight="1">
      <c r="A5" s="367" t="s">
        <v>115</v>
      </c>
      <c r="B5" s="365">
        <v>0</v>
      </c>
      <c r="C5" s="365">
        <v>0</v>
      </c>
      <c r="D5" s="365">
        <v>0</v>
      </c>
      <c r="E5" s="365">
        <v>0</v>
      </c>
      <c r="F5" s="368"/>
      <c r="G5" s="361"/>
      <c r="H5" s="361"/>
    </row>
    <row r="6" spans="1:8" ht="27" customHeight="1">
      <c r="A6" s="367" t="s">
        <v>116</v>
      </c>
      <c r="B6" s="365">
        <v>0</v>
      </c>
      <c r="C6" s="365">
        <v>0</v>
      </c>
      <c r="D6" s="365">
        <v>0</v>
      </c>
      <c r="E6" s="365">
        <v>0</v>
      </c>
      <c r="F6" s="368"/>
      <c r="G6" s="361"/>
      <c r="H6" s="361"/>
    </row>
    <row r="7" spans="1:8" ht="27" customHeight="1">
      <c r="A7" s="367" t="s">
        <v>117</v>
      </c>
      <c r="B7" s="365">
        <v>0</v>
      </c>
      <c r="C7" s="365">
        <v>0</v>
      </c>
      <c r="D7" s="365">
        <v>0</v>
      </c>
      <c r="E7" s="365">
        <v>0</v>
      </c>
      <c r="F7" s="368"/>
      <c r="G7" s="361"/>
      <c r="H7" s="361"/>
    </row>
    <row r="8" spans="1:8" ht="27" customHeight="1">
      <c r="A8" s="367" t="s">
        <v>118</v>
      </c>
      <c r="B8" s="365">
        <v>0</v>
      </c>
      <c r="C8" s="365">
        <v>0</v>
      </c>
      <c r="D8" s="365">
        <v>0</v>
      </c>
      <c r="E8" s="365">
        <v>0</v>
      </c>
      <c r="F8" s="368"/>
      <c r="G8" s="361"/>
      <c r="H8" s="361"/>
    </row>
    <row r="9" spans="1:8" ht="27" customHeight="1">
      <c r="A9" s="367" t="s">
        <v>119</v>
      </c>
      <c r="B9" s="365">
        <v>0</v>
      </c>
      <c r="C9" s="365">
        <v>0</v>
      </c>
      <c r="D9" s="365">
        <v>0</v>
      </c>
      <c r="E9" s="365">
        <v>0</v>
      </c>
      <c r="F9" s="368"/>
      <c r="G9" s="361"/>
      <c r="H9" s="361"/>
    </row>
    <row r="10" spans="1:8" ht="27" customHeight="1">
      <c r="A10" s="367" t="s">
        <v>120</v>
      </c>
      <c r="B10" s="365">
        <v>0</v>
      </c>
      <c r="C10" s="365">
        <v>0</v>
      </c>
      <c r="D10" s="365">
        <v>0</v>
      </c>
      <c r="E10" s="365">
        <v>0</v>
      </c>
      <c r="F10" s="368"/>
      <c r="G10" s="361"/>
      <c r="H10" s="361"/>
    </row>
    <row r="11" spans="1:8" ht="27" customHeight="1">
      <c r="A11" s="367" t="s">
        <v>121</v>
      </c>
      <c r="B11" s="365">
        <v>0</v>
      </c>
      <c r="C11" s="365">
        <v>0</v>
      </c>
      <c r="D11" s="365">
        <v>0</v>
      </c>
      <c r="E11" s="365">
        <v>0</v>
      </c>
      <c r="F11" s="368"/>
      <c r="G11" s="361"/>
      <c r="H11" s="361"/>
    </row>
    <row r="12" spans="1:8" ht="27" customHeight="1">
      <c r="A12" s="367" t="s">
        <v>122</v>
      </c>
      <c r="B12" s="365">
        <v>0</v>
      </c>
      <c r="C12" s="365">
        <v>0</v>
      </c>
      <c r="D12" s="365">
        <v>0</v>
      </c>
      <c r="E12" s="365">
        <v>0</v>
      </c>
      <c r="F12" s="368"/>
      <c r="G12" s="361"/>
      <c r="H12" s="361"/>
    </row>
    <row r="13" spans="1:8" ht="27" customHeight="1">
      <c r="A13" s="367" t="s">
        <v>123</v>
      </c>
      <c r="B13" s="365">
        <v>0</v>
      </c>
      <c r="C13" s="365">
        <v>0</v>
      </c>
      <c r="D13" s="365">
        <v>0</v>
      </c>
      <c r="E13" s="365">
        <v>0</v>
      </c>
      <c r="F13" s="368"/>
      <c r="G13" s="361"/>
      <c r="H13" s="361"/>
    </row>
    <row r="14" spans="1:8" ht="27" customHeight="1">
      <c r="A14" s="367" t="s">
        <v>124</v>
      </c>
      <c r="B14" s="365">
        <v>0</v>
      </c>
      <c r="C14" s="365">
        <v>0</v>
      </c>
      <c r="D14" s="365">
        <v>0</v>
      </c>
      <c r="E14" s="365">
        <v>0</v>
      </c>
      <c r="F14" s="368"/>
      <c r="G14" s="361"/>
      <c r="H14" s="361"/>
    </row>
    <row r="15" spans="1:8" ht="27" customHeight="1">
      <c r="A15" s="367" t="s">
        <v>125</v>
      </c>
      <c r="B15" s="365">
        <v>0</v>
      </c>
      <c r="C15" s="365">
        <v>0</v>
      </c>
      <c r="D15" s="365">
        <v>0</v>
      </c>
      <c r="E15" s="365">
        <v>0</v>
      </c>
      <c r="F15" s="368"/>
      <c r="G15" s="361"/>
      <c r="H15" s="361"/>
    </row>
  </sheetData>
  <sheetProtection/>
  <mergeCells count="1">
    <mergeCell ref="A1:F1"/>
  </mergeCells>
  <printOptions horizontalCentered="1"/>
  <pageMargins left="0.75" right="0.75" top="0.98" bottom="0.98"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IV42"/>
  <sheetViews>
    <sheetView zoomScaleSheetLayoutView="100" workbookViewId="0" topLeftCell="A1">
      <selection activeCell="A6" sqref="A6"/>
    </sheetView>
  </sheetViews>
  <sheetFormatPr defaultColWidth="9.00390625" defaultRowHeight="14.25"/>
  <cols>
    <col min="1" max="1" width="52.375" style="112" customWidth="1"/>
    <col min="2" max="2" width="20.25390625" style="112" customWidth="1"/>
    <col min="3" max="3" width="34.00390625" style="306" customWidth="1"/>
    <col min="4" max="5" width="14.25390625" style="114" customWidth="1"/>
    <col min="6" max="6" width="32.50390625" style="112" customWidth="1"/>
    <col min="7" max="254" width="9.00390625" style="112" customWidth="1"/>
    <col min="255" max="16384" width="9.00390625" style="29" customWidth="1"/>
  </cols>
  <sheetData>
    <row r="1" spans="1:256" s="112" customFormat="1" ht="39.75" customHeight="1">
      <c r="A1" s="309" t="s">
        <v>126</v>
      </c>
      <c r="B1" s="309"/>
      <c r="C1" s="309"/>
      <c r="D1" s="351"/>
      <c r="E1" s="351"/>
      <c r="IU1" s="29"/>
      <c r="IV1" s="29"/>
    </row>
    <row r="2" spans="1:5" s="303" customFormat="1" ht="18.75" customHeight="1">
      <c r="A2" s="311" t="s">
        <v>127</v>
      </c>
      <c r="C2" s="310" t="s">
        <v>2</v>
      </c>
      <c r="D2" s="310"/>
      <c r="E2" s="310"/>
    </row>
    <row r="3" spans="1:3" s="304" customFormat="1" ht="24" customHeight="1">
      <c r="A3" s="123" t="s">
        <v>128</v>
      </c>
      <c r="B3" s="123" t="s">
        <v>103</v>
      </c>
      <c r="C3" s="123" t="s">
        <v>129</v>
      </c>
    </row>
    <row r="4" spans="1:4" s="108" customFormat="1" ht="24" customHeight="1">
      <c r="A4" s="313" t="s">
        <v>130</v>
      </c>
      <c r="B4" s="314">
        <f>B5+B6</f>
        <v>117725</v>
      </c>
      <c r="C4" s="352"/>
      <c r="D4" s="353"/>
    </row>
    <row r="5" spans="1:4" s="108" customFormat="1" ht="24" customHeight="1">
      <c r="A5" s="316" t="s">
        <v>131</v>
      </c>
      <c r="B5" s="314">
        <v>51000</v>
      </c>
      <c r="C5" s="354"/>
      <c r="D5" s="353"/>
    </row>
    <row r="6" spans="1:4" s="108" customFormat="1" ht="24" customHeight="1">
      <c r="A6" s="316" t="s">
        <v>132</v>
      </c>
      <c r="B6" s="337">
        <f>B7+B13+B36+B37</f>
        <v>66725</v>
      </c>
      <c r="C6" s="354"/>
      <c r="D6" s="353"/>
    </row>
    <row r="7" spans="1:4" s="108" customFormat="1" ht="24" customHeight="1">
      <c r="A7" s="316" t="s">
        <v>133</v>
      </c>
      <c r="B7" s="337">
        <f>SUM(B8:B12)</f>
        <v>-3050</v>
      </c>
      <c r="C7" s="354"/>
      <c r="D7" s="353"/>
    </row>
    <row r="8" spans="1:4" s="108" customFormat="1" ht="24" customHeight="1">
      <c r="A8" s="316" t="s">
        <v>134</v>
      </c>
      <c r="B8" s="337">
        <v>-219</v>
      </c>
      <c r="C8" s="354"/>
      <c r="D8" s="353"/>
    </row>
    <row r="9" spans="1:4" s="108" customFormat="1" ht="24" customHeight="1">
      <c r="A9" s="316" t="s">
        <v>135</v>
      </c>
      <c r="B9" s="337">
        <v>189</v>
      </c>
      <c r="C9" s="355"/>
      <c r="D9" s="353"/>
    </row>
    <row r="10" spans="1:4" s="108" customFormat="1" ht="24" customHeight="1">
      <c r="A10" s="316" t="s">
        <v>136</v>
      </c>
      <c r="B10" s="337">
        <v>1085</v>
      </c>
      <c r="C10" s="354"/>
      <c r="D10" s="353"/>
    </row>
    <row r="11" spans="1:4" s="108" customFormat="1" ht="24" customHeight="1">
      <c r="A11" s="316" t="s">
        <v>137</v>
      </c>
      <c r="B11" s="337">
        <v>3</v>
      </c>
      <c r="C11" s="354"/>
      <c r="D11" s="353"/>
    </row>
    <row r="12" spans="1:4" s="108" customFormat="1" ht="24" customHeight="1">
      <c r="A12" s="316" t="s">
        <v>138</v>
      </c>
      <c r="B12" s="337">
        <v>-4108</v>
      </c>
      <c r="C12" s="356"/>
      <c r="D12" s="353"/>
    </row>
    <row r="13" spans="1:4" s="108" customFormat="1" ht="24" customHeight="1">
      <c r="A13" s="316" t="s">
        <v>139</v>
      </c>
      <c r="B13" s="337">
        <f>SUM(B14:B35)</f>
        <v>55146</v>
      </c>
      <c r="C13" s="357"/>
      <c r="D13" s="353"/>
    </row>
    <row r="14" spans="1:4" s="108" customFormat="1" ht="24" customHeight="1">
      <c r="A14" s="316" t="s">
        <v>140</v>
      </c>
      <c r="B14" s="337">
        <v>330</v>
      </c>
      <c r="C14" s="357"/>
      <c r="D14" s="353"/>
    </row>
    <row r="15" spans="1:3" s="108" customFormat="1" ht="24" customHeight="1">
      <c r="A15" s="316" t="s">
        <v>141</v>
      </c>
      <c r="B15" s="337">
        <v>13583</v>
      </c>
      <c r="C15" s="357"/>
    </row>
    <row r="16" spans="1:3" s="108" customFormat="1" ht="24" customHeight="1">
      <c r="A16" s="316" t="s">
        <v>142</v>
      </c>
      <c r="B16" s="337">
        <v>7267</v>
      </c>
      <c r="C16" s="358"/>
    </row>
    <row r="17" spans="1:3" s="108" customFormat="1" ht="24" customHeight="1">
      <c r="A17" s="316" t="s">
        <v>143</v>
      </c>
      <c r="B17" s="337">
        <v>1289</v>
      </c>
      <c r="C17" s="358"/>
    </row>
    <row r="18" spans="1:3" s="108" customFormat="1" ht="24" customHeight="1">
      <c r="A18" s="316" t="s">
        <v>144</v>
      </c>
      <c r="B18" s="337"/>
      <c r="C18" s="355"/>
    </row>
    <row r="19" spans="1:4" s="108" customFormat="1" ht="24" customHeight="1">
      <c r="A19" s="316" t="s">
        <v>145</v>
      </c>
      <c r="B19" s="337"/>
      <c r="C19" s="355"/>
      <c r="D19" s="351"/>
    </row>
    <row r="20" spans="1:256" s="112" customFormat="1" ht="24" customHeight="1">
      <c r="A20" s="316" t="s">
        <v>146</v>
      </c>
      <c r="B20" s="337"/>
      <c r="C20" s="339"/>
      <c r="E20" s="108"/>
      <c r="IU20" s="29"/>
      <c r="IV20" s="29"/>
    </row>
    <row r="21" spans="1:256" s="112" customFormat="1" ht="24" customHeight="1">
      <c r="A21" s="316" t="s">
        <v>147</v>
      </c>
      <c r="B21" s="337">
        <v>12</v>
      </c>
      <c r="C21" s="339"/>
      <c r="D21" s="114"/>
      <c r="E21" s="108"/>
      <c r="IU21" s="29"/>
      <c r="IV21" s="29"/>
    </row>
    <row r="22" spans="1:256" s="112" customFormat="1" ht="24" customHeight="1">
      <c r="A22" s="316" t="s">
        <v>148</v>
      </c>
      <c r="B22" s="337">
        <v>2863</v>
      </c>
      <c r="C22" s="339"/>
      <c r="D22" s="114"/>
      <c r="E22" s="108"/>
      <c r="IU22" s="29"/>
      <c r="IV22" s="29"/>
    </row>
    <row r="23" spans="1:256" s="112" customFormat="1" ht="24" customHeight="1">
      <c r="A23" s="316" t="s">
        <v>149</v>
      </c>
      <c r="B23" s="337"/>
      <c r="C23" s="339"/>
      <c r="D23" s="114"/>
      <c r="E23" s="108"/>
      <c r="IU23" s="29"/>
      <c r="IV23" s="29"/>
    </row>
    <row r="24" spans="1:256" s="112" customFormat="1" ht="24" customHeight="1">
      <c r="A24" s="316" t="s">
        <v>150</v>
      </c>
      <c r="B24" s="337">
        <v>381</v>
      </c>
      <c r="C24" s="339"/>
      <c r="D24" s="114"/>
      <c r="E24" s="108"/>
      <c r="IU24" s="29"/>
      <c r="IV24" s="29"/>
    </row>
    <row r="25" spans="1:256" s="112" customFormat="1" ht="24" customHeight="1">
      <c r="A25" s="316" t="s">
        <v>151</v>
      </c>
      <c r="B25" s="337"/>
      <c r="C25" s="339"/>
      <c r="D25" s="114"/>
      <c r="E25" s="108"/>
      <c r="IU25" s="29"/>
      <c r="IV25" s="29"/>
    </row>
    <row r="26" spans="1:256" s="112" customFormat="1" ht="24" customHeight="1">
      <c r="A26" s="316" t="s">
        <v>152</v>
      </c>
      <c r="B26" s="337">
        <v>438</v>
      </c>
      <c r="C26" s="339"/>
      <c r="D26" s="114"/>
      <c r="E26" s="108"/>
      <c r="IU26" s="29"/>
      <c r="IV26" s="29"/>
    </row>
    <row r="27" spans="1:256" s="112" customFormat="1" ht="24" customHeight="1">
      <c r="A27" s="316" t="s">
        <v>153</v>
      </c>
      <c r="B27" s="337">
        <v>9818</v>
      </c>
      <c r="C27" s="339"/>
      <c r="D27" s="114"/>
      <c r="E27" s="108"/>
      <c r="IU27" s="29"/>
      <c r="IV27" s="29"/>
    </row>
    <row r="28" spans="1:256" s="112" customFormat="1" ht="24" customHeight="1">
      <c r="A28" s="316" t="s">
        <v>154</v>
      </c>
      <c r="B28" s="337">
        <v>700</v>
      </c>
      <c r="C28" s="339"/>
      <c r="D28" s="114"/>
      <c r="E28" s="108"/>
      <c r="IU28" s="29"/>
      <c r="IV28" s="29"/>
    </row>
    <row r="29" spans="1:256" s="112" customFormat="1" ht="24" customHeight="1">
      <c r="A29" s="316" t="s">
        <v>155</v>
      </c>
      <c r="B29" s="337">
        <v>6326</v>
      </c>
      <c r="C29" s="339"/>
      <c r="D29" s="114"/>
      <c r="E29" s="108"/>
      <c r="IU29" s="29"/>
      <c r="IV29" s="29"/>
    </row>
    <row r="30" spans="1:256" s="112" customFormat="1" ht="24" customHeight="1">
      <c r="A30" s="316" t="s">
        <v>156</v>
      </c>
      <c r="B30" s="337">
        <v>1465</v>
      </c>
      <c r="C30" s="339"/>
      <c r="D30" s="114"/>
      <c r="E30" s="108"/>
      <c r="IU30" s="29"/>
      <c r="IV30" s="29"/>
    </row>
    <row r="31" spans="1:256" s="112" customFormat="1" ht="24" customHeight="1">
      <c r="A31" s="316" t="s">
        <v>157</v>
      </c>
      <c r="B31" s="337">
        <v>1863</v>
      </c>
      <c r="C31" s="339"/>
      <c r="D31" s="114"/>
      <c r="E31" s="108"/>
      <c r="IU31" s="29"/>
      <c r="IV31" s="29"/>
    </row>
    <row r="32" spans="1:256" s="112" customFormat="1" ht="24" customHeight="1">
      <c r="A32" s="316" t="s">
        <v>158</v>
      </c>
      <c r="B32" s="337">
        <v>5626</v>
      </c>
      <c r="C32" s="339"/>
      <c r="D32" s="114"/>
      <c r="E32" s="108"/>
      <c r="IU32" s="29"/>
      <c r="IV32" s="29"/>
    </row>
    <row r="33" spans="1:256" s="112" customFormat="1" ht="24" customHeight="1">
      <c r="A33" s="316" t="s">
        <v>159</v>
      </c>
      <c r="B33" s="337">
        <v>1977</v>
      </c>
      <c r="C33" s="339"/>
      <c r="D33" s="114"/>
      <c r="E33" s="108"/>
      <c r="IU33" s="29"/>
      <c r="IV33" s="29"/>
    </row>
    <row r="34" spans="1:256" s="112" customFormat="1" ht="24" customHeight="1">
      <c r="A34" s="316" t="s">
        <v>160</v>
      </c>
      <c r="B34" s="337">
        <v>1166</v>
      </c>
      <c r="C34" s="339"/>
      <c r="D34" s="114"/>
      <c r="E34" s="108"/>
      <c r="IU34" s="29"/>
      <c r="IV34" s="29"/>
    </row>
    <row r="35" spans="1:256" s="112" customFormat="1" ht="24" customHeight="1">
      <c r="A35" s="316" t="s">
        <v>161</v>
      </c>
      <c r="B35" s="337">
        <v>42</v>
      </c>
      <c r="C35" s="339"/>
      <c r="D35" s="114"/>
      <c r="E35" s="108"/>
      <c r="IU35" s="29"/>
      <c r="IV35" s="29"/>
    </row>
    <row r="36" spans="1:5" ht="24" customHeight="1">
      <c r="A36" s="316" t="s">
        <v>162</v>
      </c>
      <c r="B36" s="337">
        <v>8454</v>
      </c>
      <c r="C36" s="339"/>
      <c r="E36" s="108"/>
    </row>
    <row r="37" spans="1:256" s="112" customFormat="1" ht="24" customHeight="1">
      <c r="A37" s="316" t="s">
        <v>163</v>
      </c>
      <c r="B37" s="337">
        <v>6175</v>
      </c>
      <c r="C37" s="339"/>
      <c r="D37" s="114"/>
      <c r="E37" s="108"/>
      <c r="IU37" s="29"/>
      <c r="IV37" s="29"/>
    </row>
    <row r="38" spans="1:256" s="112" customFormat="1" ht="24" customHeight="1">
      <c r="A38" s="316" t="s">
        <v>164</v>
      </c>
      <c r="B38" s="337">
        <v>6175</v>
      </c>
      <c r="C38" s="339"/>
      <c r="D38" s="114"/>
      <c r="E38" s="108"/>
      <c r="IU38" s="29"/>
      <c r="IV38" s="29"/>
    </row>
    <row r="39" spans="1:256" s="112" customFormat="1" ht="24" customHeight="1">
      <c r="A39" s="316" t="s">
        <v>165</v>
      </c>
      <c r="B39" s="337"/>
      <c r="C39" s="339"/>
      <c r="D39" s="114"/>
      <c r="E39" s="108"/>
      <c r="IU39" s="29"/>
      <c r="IV39" s="29"/>
    </row>
    <row r="40" spans="1:256" s="112" customFormat="1" ht="24" customHeight="1">
      <c r="A40" s="316" t="s">
        <v>166</v>
      </c>
      <c r="B40" s="337"/>
      <c r="C40" s="339"/>
      <c r="D40" s="114"/>
      <c r="E40" s="108"/>
      <c r="IU40" s="29"/>
      <c r="IV40" s="29"/>
    </row>
    <row r="41" spans="1:256" s="112" customFormat="1" ht="24" customHeight="1">
      <c r="A41" s="316" t="s">
        <v>167</v>
      </c>
      <c r="B41" s="337"/>
      <c r="C41" s="339"/>
      <c r="D41" s="114"/>
      <c r="E41" s="108"/>
      <c r="IU41" s="29"/>
      <c r="IV41" s="29"/>
    </row>
    <row r="42" spans="3:256" s="112" customFormat="1" ht="24" customHeight="1">
      <c r="C42" s="306"/>
      <c r="D42" s="114"/>
      <c r="E42" s="114"/>
      <c r="IU42" s="29"/>
      <c r="IV42" s="29"/>
    </row>
  </sheetData>
  <sheetProtection/>
  <mergeCells count="1">
    <mergeCell ref="A1:C1"/>
  </mergeCells>
  <printOptions horizontalCentered="1"/>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6"/>
  <sheetViews>
    <sheetView zoomScaleSheetLayoutView="100" workbookViewId="0" topLeftCell="A1">
      <selection activeCell="A2" sqref="A2"/>
    </sheetView>
  </sheetViews>
  <sheetFormatPr defaultColWidth="20.50390625" defaultRowHeight="30" customHeight="1"/>
  <cols>
    <col min="1" max="1" width="38.00390625" style="0" customWidth="1"/>
  </cols>
  <sheetData>
    <row r="1" spans="1:4" ht="25.5" customHeight="1">
      <c r="A1" s="180" t="s">
        <v>168</v>
      </c>
      <c r="B1" s="180"/>
      <c r="C1" s="180"/>
      <c r="D1" s="180"/>
    </row>
    <row r="2" spans="1:4" ht="39" customHeight="1">
      <c r="A2" s="129" t="s">
        <v>169</v>
      </c>
      <c r="D2" s="130" t="s">
        <v>2</v>
      </c>
    </row>
    <row r="3" spans="1:4" s="144" customFormat="1" ht="21" customHeight="1">
      <c r="A3" s="183" t="s">
        <v>3</v>
      </c>
      <c r="B3" s="183" t="s">
        <v>5</v>
      </c>
      <c r="C3" s="183" t="s">
        <v>170</v>
      </c>
      <c r="D3" s="183" t="s">
        <v>171</v>
      </c>
    </row>
    <row r="4" spans="1:4" ht="21" customHeight="1">
      <c r="A4" s="341" t="s">
        <v>172</v>
      </c>
      <c r="B4" s="184">
        <f>SUM(B5:B9)</f>
        <v>49175</v>
      </c>
      <c r="C4" s="184">
        <v>38400</v>
      </c>
      <c r="D4" s="189">
        <f aca="true" t="shared" si="0" ref="D4:D17">C4/B4*100</f>
        <v>78.0884595831215</v>
      </c>
    </row>
    <row r="5" spans="1:4" ht="21" customHeight="1">
      <c r="A5" s="186" t="s">
        <v>173</v>
      </c>
      <c r="B5" s="184">
        <v>20619</v>
      </c>
      <c r="C5" s="342">
        <f>20252.925+200+56</f>
        <v>20508.925</v>
      </c>
      <c r="D5" s="189">
        <f t="shared" si="0"/>
        <v>99.46614772782385</v>
      </c>
    </row>
    <row r="6" spans="1:4" ht="21" customHeight="1">
      <c r="A6" s="186" t="s">
        <v>174</v>
      </c>
      <c r="B6" s="184">
        <v>2288</v>
      </c>
      <c r="C6" s="342">
        <v>2974.62</v>
      </c>
      <c r="D6" s="189">
        <f t="shared" si="0"/>
        <v>130.0096153846154</v>
      </c>
    </row>
    <row r="7" spans="1:4" ht="21" customHeight="1">
      <c r="A7" s="186" t="s">
        <v>175</v>
      </c>
      <c r="B7" s="184">
        <v>832</v>
      </c>
      <c r="C7" s="342">
        <v>300.96</v>
      </c>
      <c r="D7" s="189">
        <f t="shared" si="0"/>
        <v>36.17307692307692</v>
      </c>
    </row>
    <row r="8" spans="1:4" ht="21" customHeight="1">
      <c r="A8" s="186" t="s">
        <v>176</v>
      </c>
      <c r="B8" s="184">
        <v>7102</v>
      </c>
      <c r="C8" s="342">
        <f>6610+200</f>
        <v>6810</v>
      </c>
      <c r="D8" s="189">
        <f t="shared" si="0"/>
        <v>95.88848211771332</v>
      </c>
    </row>
    <row r="9" spans="1:4" ht="21" customHeight="1">
      <c r="A9" s="186" t="s">
        <v>177</v>
      </c>
      <c r="B9" s="184">
        <v>18334</v>
      </c>
      <c r="C9" s="184">
        <v>7805</v>
      </c>
      <c r="D9" s="189">
        <f t="shared" si="0"/>
        <v>42.57117922984619</v>
      </c>
    </row>
    <row r="10" spans="1:4" ht="21" customHeight="1">
      <c r="A10" s="186" t="s">
        <v>178</v>
      </c>
      <c r="B10" s="184">
        <f>SUM(B11:B17)</f>
        <v>11013</v>
      </c>
      <c r="C10" s="184">
        <f>SUM(C11:C17)</f>
        <v>12600</v>
      </c>
      <c r="D10" s="189">
        <f t="shared" si="0"/>
        <v>114.41024244075184</v>
      </c>
    </row>
    <row r="11" spans="1:4" ht="21" customHeight="1">
      <c r="A11" s="186" t="s">
        <v>179</v>
      </c>
      <c r="B11" s="184">
        <v>3544</v>
      </c>
      <c r="C11" s="342">
        <v>3523</v>
      </c>
      <c r="D11" s="189">
        <f t="shared" si="0"/>
        <v>99.40744920993228</v>
      </c>
    </row>
    <row r="12" spans="1:4" ht="21" customHeight="1">
      <c r="A12" s="186" t="s">
        <v>180</v>
      </c>
      <c r="B12" s="184">
        <v>326</v>
      </c>
      <c r="C12" s="342">
        <v>326</v>
      </c>
      <c r="D12" s="189">
        <f t="shared" si="0"/>
        <v>100</v>
      </c>
    </row>
    <row r="13" spans="1:4" ht="21" customHeight="1">
      <c r="A13" s="343" t="s">
        <v>181</v>
      </c>
      <c r="B13" s="184">
        <v>1036</v>
      </c>
      <c r="C13" s="342">
        <f>3600-956</f>
        <v>2644</v>
      </c>
      <c r="D13" s="189">
        <f t="shared" si="0"/>
        <v>255.21235521235522</v>
      </c>
    </row>
    <row r="14" spans="1:4" ht="21" customHeight="1">
      <c r="A14" s="186" t="s">
        <v>182</v>
      </c>
      <c r="B14" s="344">
        <v>6</v>
      </c>
      <c r="C14" s="342"/>
      <c r="D14" s="189">
        <f t="shared" si="0"/>
        <v>0</v>
      </c>
    </row>
    <row r="15" spans="1:4" ht="21" customHeight="1">
      <c r="A15" s="345" t="s">
        <v>183</v>
      </c>
      <c r="B15" s="184">
        <v>6098</v>
      </c>
      <c r="C15" s="342">
        <v>6098</v>
      </c>
      <c r="D15" s="189">
        <f t="shared" si="0"/>
        <v>100</v>
      </c>
    </row>
    <row r="16" spans="1:4" ht="21" customHeight="1">
      <c r="A16" s="345" t="s">
        <v>184</v>
      </c>
      <c r="B16" s="184"/>
      <c r="C16" s="342">
        <v>0</v>
      </c>
      <c r="D16" s="189" t="e">
        <f t="shared" si="0"/>
        <v>#DIV/0!</v>
      </c>
    </row>
    <row r="17" spans="1:4" ht="21" customHeight="1">
      <c r="A17" s="186" t="s">
        <v>185</v>
      </c>
      <c r="B17" s="184">
        <v>3</v>
      </c>
      <c r="C17" s="184">
        <v>9</v>
      </c>
      <c r="D17" s="189">
        <f t="shared" si="0"/>
        <v>300</v>
      </c>
    </row>
    <row r="18" spans="2:4" ht="15.75" customHeight="1">
      <c r="B18" s="130"/>
      <c r="C18" s="130"/>
      <c r="D18" s="130"/>
    </row>
    <row r="19" spans="2:4" ht="15.75" customHeight="1">
      <c r="B19" s="130"/>
      <c r="C19" s="130"/>
      <c r="D19" s="130"/>
    </row>
    <row r="20" spans="2:4" ht="15.75" customHeight="1">
      <c r="B20" s="130"/>
      <c r="C20" s="130"/>
      <c r="D20" s="130"/>
    </row>
    <row r="21" spans="2:4" ht="15.75" customHeight="1">
      <c r="B21" s="346"/>
      <c r="C21" s="347"/>
      <c r="D21" s="130"/>
    </row>
    <row r="22" spans="2:4" ht="15.75" customHeight="1">
      <c r="B22" s="346"/>
      <c r="C22" s="347"/>
      <c r="D22" s="130"/>
    </row>
    <row r="23" spans="2:4" ht="15.75" customHeight="1">
      <c r="B23" s="346"/>
      <c r="C23" s="347"/>
      <c r="D23" s="130"/>
    </row>
    <row r="24" spans="2:4" ht="15.75" customHeight="1">
      <c r="B24" s="346"/>
      <c r="C24" s="347"/>
      <c r="D24" s="130"/>
    </row>
    <row r="25" spans="2:4" ht="15.75" customHeight="1">
      <c r="B25" s="346"/>
      <c r="C25" s="347"/>
      <c r="D25" s="130"/>
    </row>
    <row r="26" spans="2:4" ht="30" customHeight="1">
      <c r="B26" s="346"/>
      <c r="C26" s="347"/>
      <c r="D26" s="130"/>
    </row>
    <row r="27" spans="2:4" ht="30" customHeight="1">
      <c r="B27" s="346"/>
      <c r="C27" s="347"/>
      <c r="D27" s="130"/>
    </row>
    <row r="28" spans="2:4" ht="30" customHeight="1">
      <c r="B28" s="346"/>
      <c r="C28" s="347"/>
      <c r="D28" s="130"/>
    </row>
    <row r="29" spans="2:4" ht="30" customHeight="1">
      <c r="B29" s="346"/>
      <c r="C29" s="347"/>
      <c r="D29" s="130"/>
    </row>
    <row r="30" spans="2:4" ht="30" customHeight="1">
      <c r="B30" s="346"/>
      <c r="C30" s="347"/>
      <c r="D30" s="130"/>
    </row>
    <row r="31" spans="2:3" ht="30" customHeight="1">
      <c r="B31" s="348"/>
      <c r="C31" s="349"/>
    </row>
    <row r="32" spans="2:3" ht="30" customHeight="1">
      <c r="B32" s="348"/>
      <c r="C32" s="349"/>
    </row>
    <row r="33" spans="2:3" ht="30" customHeight="1">
      <c r="B33" s="348"/>
      <c r="C33" s="349"/>
    </row>
    <row r="34" spans="2:3" ht="30" customHeight="1">
      <c r="B34" s="348"/>
      <c r="C34" s="349"/>
    </row>
    <row r="35" spans="2:3" ht="30" customHeight="1">
      <c r="B35" s="350"/>
      <c r="C35" s="350"/>
    </row>
    <row r="36" spans="2:3" ht="30" customHeight="1">
      <c r="B36" s="350"/>
      <c r="C36" s="350"/>
    </row>
  </sheetData>
  <sheetProtection/>
  <mergeCells count="1">
    <mergeCell ref="A1:D1"/>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微软系统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2019-02-18T09:37:05Z</cp:lastPrinted>
  <dcterms:created xsi:type="dcterms:W3CDTF">2012-04-06T02:22:15Z</dcterms:created>
  <dcterms:modified xsi:type="dcterms:W3CDTF">2019-02-24T12:33:33Z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y fmtid="{D5CDD505-2E9C-101B-9397-08002B2CF9AE}" pid="4" name="KSORubyTemplate">
    <vt:lpwstr>14</vt:lpwstr>
  </property>
</Properties>
</file>