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350" tabRatio="814" activeTab="13"/>
  </bookViews>
  <sheets>
    <sheet name="西河" sheetId="1" r:id="rId1"/>
    <sheet name="文峰" sheetId="2" r:id="rId2"/>
    <sheet name="辰北" sheetId="3" r:id="rId3"/>
    <sheet name="贾家庄" sheetId="4" r:id="rId4"/>
    <sheet name="冀村" sheetId="5" r:id="rId5"/>
    <sheet name="肖家庄" sheetId="6" r:id="rId6"/>
    <sheet name="演武" sheetId="7" r:id="rId7"/>
    <sheet name="阳城" sheetId="8" r:id="rId8"/>
    <sheet name="三泉" sheetId="9" r:id="rId9"/>
    <sheet name="石庄" sheetId="10" r:id="rId10"/>
    <sheet name="杨家庄" sheetId="11" r:id="rId11"/>
    <sheet name="栗家庄" sheetId="12" r:id="rId12"/>
    <sheet name="峪道河" sheetId="13" r:id="rId13"/>
    <sheet name="汇总" sheetId="14" r:id="rId14"/>
    <sheet name="领取表" sheetId="15" r:id="rId15"/>
    <sheet name="Sheet2" sheetId="16" r:id="rId16"/>
    <sheet name="Sheet3" sheetId="17" r:id="rId17"/>
  </sheets>
  <definedNames>
    <definedName name="Print_Area_MI">#REF!</definedName>
    <definedName name="_xlnm.Print_Titles" localSheetId="4">'冀村'!$1:$3</definedName>
    <definedName name="_xlnm.Print_Titles" localSheetId="3">'贾家庄'!$1:$3</definedName>
    <definedName name="_xlnm.Print_Titles" localSheetId="11">'栗家庄'!$1:$3</definedName>
    <definedName name="_xlnm.Print_Titles" localSheetId="9">'石庄'!$1:$3</definedName>
    <definedName name="_xlnm.Print_Titles" localSheetId="5">'肖家庄'!$1:$3</definedName>
    <definedName name="_xlnm.Print_Titles" localSheetId="6">'演武'!$1:$3</definedName>
    <definedName name="_xlnm.Print_Titles" localSheetId="7">'阳城'!$1:$3</definedName>
    <definedName name="_xlnm.Print_Titles" localSheetId="10">'杨家庄'!$1:$3</definedName>
    <definedName name="_xlnm.Print_Titles" localSheetId="12">'峪道河'!$1:$3</definedName>
    <definedName name="전">#REF!</definedName>
    <definedName name="주택사업본부">#REF!</definedName>
    <definedName name="철구사업본부">#REF!</definedName>
  </definedNames>
  <calcPr calcMode="manual" fullCalcOnLoad="1"/>
</workbook>
</file>

<file path=xl/comments1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10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11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12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13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14.xml><?xml version="1.0" encoding="utf-8"?>
<comments xmlns="http://schemas.openxmlformats.org/spreadsheetml/2006/main">
  <authors>
    <author>作者</author>
  </authors>
  <commentList>
    <comment ref="G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4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7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M3" authorId="0">
      <text>
        <r>
          <rPr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<sst xmlns="http://schemas.openxmlformats.org/spreadsheetml/2006/main" count="1080" uniqueCount="530">
  <si>
    <t>2018年农村“一事一议”财政奖补项目投资评审及资金计划表</t>
  </si>
  <si>
    <t>乡镇：阳城乡</t>
  </si>
  <si>
    <t>西河办事处</t>
  </si>
  <si>
    <t>单位：元</t>
  </si>
  <si>
    <t>编号</t>
  </si>
  <si>
    <t>村名</t>
  </si>
  <si>
    <t>户数</t>
  </si>
  <si>
    <t>人数</t>
  </si>
  <si>
    <t>符合筹资人数</t>
  </si>
  <si>
    <t>筹资总额</t>
  </si>
  <si>
    <t>符合筹劳人数</t>
  </si>
  <si>
    <t>筹劳总额</t>
  </si>
  <si>
    <t>应筹资筹劳总额</t>
  </si>
  <si>
    <t>建设地址</t>
  </si>
  <si>
    <t>建设项目名称</t>
  </si>
  <si>
    <t>建设内容</t>
  </si>
  <si>
    <t>报审总投资</t>
  </si>
  <si>
    <t>审核预算额</t>
  </si>
  <si>
    <t>奖补计划</t>
  </si>
  <si>
    <t>建设情况</t>
  </si>
  <si>
    <t>预算图纸</t>
  </si>
  <si>
    <t>石塔</t>
  </si>
  <si>
    <t>村内</t>
  </si>
  <si>
    <t>自来水入户</t>
  </si>
  <si>
    <t>4寸PE管*700m，2寸PE管*4607m；5307m开挖、回填、割补</t>
  </si>
  <si>
    <t>完工</t>
  </si>
  <si>
    <t>有</t>
  </si>
  <si>
    <t>未开工</t>
  </si>
  <si>
    <t>北门村</t>
  </si>
  <si>
    <t>旧公园北</t>
  </si>
  <si>
    <t>公园建设</t>
  </si>
  <si>
    <t>合计</t>
  </si>
  <si>
    <t>备注：1、项目村要按照批复的建设内容施工，不得随意更改，未经批准擅自变更的，取消奖补</t>
  </si>
  <si>
    <t xml:space="preserve">     2、工程开工后，及时通知财政所报财政局实地查看拍照，否则取消奖补</t>
  </si>
  <si>
    <t xml:space="preserve">     3、未全部完成建设内容的项目，财政扣减相应的奖补资金</t>
  </si>
  <si>
    <t>乡镇：文峰办事处</t>
  </si>
  <si>
    <t>峰南</t>
  </si>
  <si>
    <t>主街道</t>
  </si>
  <si>
    <t>主街道排水工程</t>
  </si>
  <si>
    <t>排水管562米：直径400mm,103m；直径500mm,150m；直径600mm,130m；直径700mm,116m；直径800mm,63m；23个雨水口，开挖、回填、割补</t>
  </si>
  <si>
    <t>乡镇：辰北办事处</t>
  </si>
  <si>
    <t>米家庄村</t>
  </si>
  <si>
    <t>上坟墙机耕路</t>
  </si>
  <si>
    <t>道路硬化工程</t>
  </si>
  <si>
    <t>田间路硬化10公分灰土，硬化10公分*860m*3m</t>
  </si>
  <si>
    <t>道路硬化</t>
  </si>
  <si>
    <t>有蓄水池，管道不明确</t>
  </si>
  <si>
    <t>乡镇：贾家庄镇</t>
  </si>
  <si>
    <t>贾家庄</t>
  </si>
  <si>
    <t>作家村</t>
  </si>
  <si>
    <t>作家村工程雨水、污水主电网路灯亮化及绿化工程</t>
  </si>
  <si>
    <t>作家村排水D300波纹管187米，9立方玻璃钢化粪池1座，雨水景观明渠120米，主电网埋设4*185铜电缆319米，造型太阳能灯20套，庭院灯30套</t>
  </si>
  <si>
    <t>村委文化活动场所修缮</t>
  </si>
  <si>
    <t>后庄化</t>
  </si>
  <si>
    <t>马沟-村口</t>
  </si>
  <si>
    <t>田间路整修</t>
  </si>
  <si>
    <t>马沟、南头地、东门外—村口等，全长3480m:1400m*宽3.5m,2080m*宽3m</t>
  </si>
  <si>
    <t>董寺</t>
  </si>
  <si>
    <t>村委后院</t>
  </si>
  <si>
    <t>13间窑洞维修：门窗更换、前墙、大壁、窑顶重铺。</t>
  </si>
  <si>
    <t>新丰</t>
  </si>
  <si>
    <t>村内亮化工程</t>
  </si>
  <si>
    <t>50盏太阳能灯、6米杆，30W，锂电池,太阳能板80w</t>
  </si>
  <si>
    <t>大相</t>
  </si>
  <si>
    <t>72盏太阳能灯、6米杆，30W，锂电池,太阳能板80w</t>
  </si>
  <si>
    <t>太平</t>
  </si>
  <si>
    <t>垃圾填埋坑工程</t>
  </si>
  <si>
    <t>长90m*宽15m*深10m</t>
  </si>
  <si>
    <t>前庄化</t>
  </si>
  <si>
    <t>田间路铺砂石工程</t>
  </si>
  <si>
    <t>全长2700m(307国道东南)*宽3.5m*厚10公分，砂化</t>
  </si>
  <si>
    <t>朝阳坡</t>
  </si>
  <si>
    <t>50盏路灯、6米杆，30W，锂电池,太阳能板80w</t>
  </si>
  <si>
    <t>金井</t>
  </si>
  <si>
    <t>现有20盏，56盏路灯、6米杆，30W，锂电池,太阳能板80w</t>
  </si>
  <si>
    <t>乡镇：冀村镇</t>
  </si>
  <si>
    <t>南浦村</t>
  </si>
  <si>
    <t>村西</t>
  </si>
  <si>
    <t>村西石砌排水渠</t>
  </si>
  <si>
    <t>村西北排水上口1m*下宽0.7m*高1m,石砌86m；二段、三段460m、551m；效果不是太好</t>
  </si>
  <si>
    <t>东陈家村</t>
  </si>
  <si>
    <t>环村西路</t>
  </si>
  <si>
    <t>街道硬化工程</t>
  </si>
  <si>
    <t>环村西路600米*3米，厚0.10米；迎新路100米*4米，厚0.1米</t>
  </si>
  <si>
    <t>大会头村</t>
  </si>
  <si>
    <t>村内退水渠及配套工程</t>
  </si>
  <si>
    <t>4m*4m*4m，混凝土钢结构；蓄水池，水泵，泵房：长4m*宽4m*高3m</t>
  </si>
  <si>
    <t>仁岩村</t>
  </si>
  <si>
    <t>人畜吃水工程</t>
  </si>
  <si>
    <t>全长6100m,施工挖填安装及附属配件等，4寸*110（1m*0.6m)</t>
  </si>
  <si>
    <t>东遥庄村</t>
  </si>
  <si>
    <t>致远小学门前-四斗渠桥</t>
  </si>
  <si>
    <t>水泥硬化：700m*3m*10cm</t>
  </si>
  <si>
    <t>东社村</t>
  </si>
  <si>
    <t>南康街</t>
  </si>
  <si>
    <t>村内排水渠</t>
  </si>
  <si>
    <t>现浇混凝土排水渠350米、深1米、宽0.8米、水泥板厚15公分。现浇盖板。</t>
  </si>
  <si>
    <t>西九枝村</t>
  </si>
  <si>
    <t>田间路砂铺</t>
  </si>
  <si>
    <t>长2800m*3m=8400平方米，铺砂10公分</t>
  </si>
  <si>
    <t>古贤庄村</t>
  </si>
  <si>
    <t>古贤—唐兴庄</t>
  </si>
  <si>
    <t>古贤至唐兴道路硬化</t>
  </si>
  <si>
    <t>硬化本村—唐兴堡500m,宽5米，12cm厚，3个过路桥，0.8m涵洞</t>
  </si>
  <si>
    <t>李家庄村</t>
  </si>
  <si>
    <t>村南</t>
  </si>
  <si>
    <t>村南道路硬化工程</t>
  </si>
  <si>
    <t>硬化村南,田间路：350m*3m*0.10cm；                 主路：750m*3m*0.12cm</t>
  </si>
  <si>
    <t>菩提庄村</t>
  </si>
  <si>
    <t>村东南道</t>
  </si>
  <si>
    <t>村东南道路硬化</t>
  </si>
  <si>
    <t>硬化700m*3m*12cm；硬化200m*3m*12cm</t>
  </si>
  <si>
    <t>东宋家庄村</t>
  </si>
  <si>
    <t>街道路肩铺砖（二期）</t>
  </si>
  <si>
    <t>便道两侧砖铺：                                            1、南还路1000m*4m=4000㎡  2、正南二街800m*4m=3200㎡     3、正南四街700m*4m=2800㎡ 4、海平巷100m*3m=300㎡           5、正南三街800m*4m=3200㎡ 6、世海巷100m*4=400㎡        砖铺面积17800平方米</t>
  </si>
  <si>
    <t>东九枝村</t>
  </si>
  <si>
    <t>路灯</t>
  </si>
  <si>
    <t>太阳能路灯75盏，6米杆,30w,锂电池，太阳能板80w</t>
  </si>
  <si>
    <t>东河头村</t>
  </si>
  <si>
    <t>减灾退水渠</t>
  </si>
  <si>
    <t>11贞土地2300m，13m-14m上宽*2米底宽*高2.5m；两座排水桥（过水涵洞），砖砌</t>
  </si>
  <si>
    <t>富家庄村</t>
  </si>
  <si>
    <t>富家庄—裴会村</t>
  </si>
  <si>
    <t>本村至裴会村道路硬化</t>
  </si>
  <si>
    <t>硬化和水裴会接900平方米*4.5米，厚12公分</t>
  </si>
  <si>
    <t>冀村</t>
  </si>
  <si>
    <t>引水管道工程</t>
  </si>
  <si>
    <t>耀进口-大马街口，主管2000m,4寸PE管；马街西口-小东门东头：2000m,4寸PE管；4000m开挖、回填、割补、恢复</t>
  </si>
  <si>
    <t>乡镇：肖家庄镇</t>
  </si>
  <si>
    <t>宣柴堡村</t>
  </si>
  <si>
    <t>兴华街</t>
  </si>
  <si>
    <t>兴华街等道路铺油工程</t>
  </si>
  <si>
    <t>沥青硬化：675米*4米=2700平方米，铺油3公分。</t>
  </si>
  <si>
    <t>青堆村</t>
  </si>
  <si>
    <t>路面拓宽及旧路面修复工程</t>
  </si>
  <si>
    <t>去年路面上恢复2.3m*326m；维修局部硬化584m2，厚12公分</t>
  </si>
  <si>
    <t>孙家庄村</t>
  </si>
  <si>
    <t>孙家庄村环村退水渠</t>
  </si>
  <si>
    <t>556m石砌排水渠，深1.2米、宽1.2米</t>
  </si>
  <si>
    <t>中寨村</t>
  </si>
  <si>
    <t>中寨村水上游乐园</t>
  </si>
  <si>
    <t>康宁堡村</t>
  </si>
  <si>
    <t>康宁堡村东北硬化街</t>
  </si>
  <si>
    <t xml:space="preserve">水泥硬化920m*3.5m*12公分， </t>
  </si>
  <si>
    <t>玉兰村</t>
  </si>
  <si>
    <t>玉兰村路侧斜坡铺设</t>
  </si>
  <si>
    <t>平整路边便道：7400平方米，石砌路沿2300米。</t>
  </si>
  <si>
    <t>义安村</t>
  </si>
  <si>
    <t>后街西段</t>
  </si>
  <si>
    <t>义安村后街西段硬化</t>
  </si>
  <si>
    <t>硬化主街400m*5m*12公分</t>
  </si>
  <si>
    <t>东雷家堡村</t>
  </si>
  <si>
    <t>村西、村东</t>
  </si>
  <si>
    <t>村东西排水</t>
  </si>
  <si>
    <t>石砌排水渠，村西退水渠140m,石砌；村东退水渠65m,现浇盖顶，箱涵洞式，下底1米，深1米，上宽1.2米</t>
  </si>
  <si>
    <t>场地完</t>
  </si>
  <si>
    <t>何家庄村</t>
  </si>
  <si>
    <t>街道硬化、空地绿化</t>
  </si>
  <si>
    <t>兴何路两侧便道硬化500米*2米*2=2000平方米，厚6公分</t>
  </si>
  <si>
    <t>唐家堡</t>
  </si>
  <si>
    <t>村北</t>
  </si>
  <si>
    <t>排水渠</t>
  </si>
  <si>
    <t>高丰</t>
  </si>
  <si>
    <t>灯杆、太阳能蓄电池等63套</t>
  </si>
  <si>
    <t>太阳能路灯63盏（已有20盏路灯），6米杆，30W,锂电池，太阳能板80w</t>
  </si>
  <si>
    <t>乡镇：演武镇</t>
  </si>
  <si>
    <t>南上达村</t>
  </si>
  <si>
    <t>便道水泥硬化工程</t>
  </si>
  <si>
    <t>两侧便道硬化：1848m*2米*2=7392平方米，厚度6公分，，</t>
  </si>
  <si>
    <t>电力设施完工</t>
  </si>
  <si>
    <t>中上达村</t>
  </si>
  <si>
    <t>便道硬化</t>
  </si>
  <si>
    <t>便道硬化6cm,幸福街322.5平方米，两侧4m；新建街南长480m,两侧宽合5m；法盛街410m，两侧宽合4m；兴旺街长440m,两侧宽合5m,合计7500平方米</t>
  </si>
  <si>
    <t>韩家桥村</t>
  </si>
  <si>
    <t>退水渠工程</t>
  </si>
  <si>
    <t>退水渠328m+346m,混凝土，壁厚20公分，宽0.6m*深0.6m(平均）</t>
  </si>
  <si>
    <t>辛盖村</t>
  </si>
  <si>
    <t>硬化正街等7条街道两侧,面积2485.6平方米，厚度6cm</t>
  </si>
  <si>
    <t>已拓宽未硬化</t>
  </si>
  <si>
    <t>西堡障村</t>
  </si>
  <si>
    <t>庙东街</t>
  </si>
  <si>
    <t>便道硬化工程</t>
  </si>
  <si>
    <t>韩殿贵500m*1.5米*2=1500平方米；韩建林500m*1.5米*2=1500平方米；刘俊花460m*1.5米*2=1380平方米，厚6公分，</t>
  </si>
  <si>
    <t>已栽种</t>
  </si>
  <si>
    <t>招贤村</t>
  </si>
  <si>
    <t>南北路、后街、跃进街</t>
  </si>
  <si>
    <t>南北路422m*2.5m*2=2110平方米，                   后街21米*1.5*2=1143平方米，                     后街381米*1.5米*2=1143                           共3606平方米</t>
  </si>
  <si>
    <t>师家庄村</t>
  </si>
  <si>
    <t>排污水站工程</t>
  </si>
  <si>
    <r>
      <t>泵房1座：建筑面积4.7m*4.7m；17m长涵洞</t>
    </r>
    <r>
      <rPr>
        <sz val="10"/>
        <color indexed="50"/>
        <rFont val="宋体"/>
        <family val="0"/>
      </rPr>
      <t>：</t>
    </r>
    <r>
      <rPr>
        <sz val="10"/>
        <color indexed="8"/>
        <rFont val="宋体"/>
        <family val="0"/>
      </rPr>
      <t>（净）2m*2m；检查井1座；节制闸6.5m*5.2m；出水口2m*0.8m；详见图示</t>
    </r>
  </si>
  <si>
    <t>南开社村</t>
  </si>
  <si>
    <t>村主干道两侧</t>
  </si>
  <si>
    <t>硬化文明街边道</t>
  </si>
  <si>
    <t>便道硬化：文明街：700米*3米*2=4200平方米（往大队360m*3米*2=2160平方米），厚度6cm</t>
  </si>
  <si>
    <t>东大王村</t>
  </si>
  <si>
    <t>街道退水工程</t>
  </si>
  <si>
    <t>村南退水渠170m*高1m,钢混凝土宽0.8m*壁厚15公分</t>
  </si>
  <si>
    <t>北上达村</t>
  </si>
  <si>
    <t>旧村委对面</t>
  </si>
  <si>
    <t>文化活动室</t>
  </si>
  <si>
    <t>建筑面积：11.5米*6米，高3.5米，砖砌二四围墙45米，高2米，大门1座</t>
  </si>
  <si>
    <t>西龙观</t>
  </si>
  <si>
    <t>农民文化娱乐活动中心</t>
  </si>
  <si>
    <r>
      <t>拆除旧仓库8间；新建：</t>
    </r>
    <r>
      <rPr>
        <sz val="10"/>
        <rFont val="宋体"/>
        <family val="0"/>
      </rPr>
      <t>5</t>
    </r>
    <r>
      <rPr>
        <sz val="10"/>
        <rFont val="宋体"/>
        <family val="0"/>
      </rPr>
      <t>间，</t>
    </r>
    <r>
      <rPr>
        <sz val="10"/>
        <rFont val="宋体"/>
        <family val="0"/>
      </rPr>
      <t>100</t>
    </r>
    <r>
      <rPr>
        <sz val="10"/>
        <rFont val="宋体"/>
        <family val="0"/>
      </rPr>
      <t>平方米，1间门房，一座厕所：2位；大门、围墙20m，砖砌；广场面积400平方米*8cm</t>
    </r>
  </si>
  <si>
    <t>东龙观</t>
  </si>
  <si>
    <t>东龙观村舞台工程</t>
  </si>
  <si>
    <t>砖混建筑面积14m*16m，总高度6m,钢结构戏台顶</t>
  </si>
  <si>
    <t>西阳城</t>
  </si>
  <si>
    <t>北头正街、堡正街</t>
  </si>
  <si>
    <t>街道沥青硬化工程</t>
  </si>
  <si>
    <t>北头正街面积：440m*4.5m*4cm油层 ；堡正街面积410m*4m*4cm油层</t>
  </si>
  <si>
    <t>东堡</t>
  </si>
  <si>
    <t>旧学校</t>
  </si>
  <si>
    <t>老年文化活动场所二期工程</t>
  </si>
  <si>
    <t>场地硬化：面积49m*30m；门房一座:4.4m*3.6m；厕所：两个位；围墙56.7m,高0.8m,上1.4m栏杆；旗台一座：2.4m*2m，伸缩门1套</t>
  </si>
  <si>
    <t>见喜</t>
  </si>
  <si>
    <t>德馨宛小区东北角</t>
  </si>
  <si>
    <t>村级文化活动场所建设</t>
  </si>
  <si>
    <t>建筑面积：25.7m*6.75m=173.475平方米（一层）</t>
  </si>
  <si>
    <t>乡镇：三泉镇</t>
  </si>
  <si>
    <t>三泉村</t>
  </si>
  <si>
    <t>村内主干道</t>
  </si>
  <si>
    <t>三泉镇亮化工程</t>
  </si>
  <si>
    <t>路灯90盏,6米杆，30w,锂电池，太阳能板80w</t>
  </si>
  <si>
    <t>巩村</t>
  </si>
  <si>
    <t>滩子路</t>
  </si>
  <si>
    <t>硬化工程</t>
  </si>
  <si>
    <t>硬化：900m*4m=3600平方米 ，厚10cm</t>
  </si>
  <si>
    <t>上庄村</t>
  </si>
  <si>
    <t>任显通旧址</t>
  </si>
  <si>
    <t>村级活动中心</t>
  </si>
  <si>
    <r>
      <t>活动室7间，建筑面积：25.7m*6.5</t>
    </r>
    <r>
      <rPr>
        <sz val="10"/>
        <rFont val="宋体"/>
        <family val="0"/>
      </rPr>
      <t>m*高3.6m</t>
    </r>
  </si>
  <si>
    <t>崞村</t>
  </si>
  <si>
    <t>正西路</t>
  </si>
  <si>
    <t>崞村正西路硬化工程</t>
  </si>
  <si>
    <t>水泥硬化:750m*3m=2250平方米，厚10cm</t>
  </si>
  <si>
    <t>员庄村</t>
  </si>
  <si>
    <t>前街、后街</t>
  </si>
  <si>
    <t>人畜饮水管道工程</t>
  </si>
  <si>
    <t>主管道：4吋PE*700m,3吋PE*1000m；开挖回填1700m，割补路面1400米</t>
  </si>
  <si>
    <t>岅峪村</t>
  </si>
  <si>
    <t>板峪村街巷亮化工程</t>
  </si>
  <si>
    <t>太阳能路灯：39盏，6m杆，30w,锂电池，太阳能板80w</t>
  </si>
  <si>
    <t>东石村</t>
  </si>
  <si>
    <t>硬化道路</t>
  </si>
  <si>
    <t>硬化：100m*15m*10cm；500mm厚砖砌：大出水口 长10m*高8m</t>
  </si>
  <si>
    <t>东赵村</t>
  </si>
  <si>
    <t>村内田间</t>
  </si>
  <si>
    <t>田间灌溉铺设管道工程</t>
  </si>
  <si>
    <t>引水管道：4000米4寸PVC管道，102个出水口，阀门4个，排气阀4个</t>
  </si>
  <si>
    <t>南垣村</t>
  </si>
  <si>
    <t>村内街道</t>
  </si>
  <si>
    <t>街道亮化工程</t>
  </si>
  <si>
    <t>路灯60盏，6米杆，30w,锂电池，太阳能板80w</t>
  </si>
  <si>
    <t>新贤村</t>
  </si>
  <si>
    <t>南街、居民区</t>
  </si>
  <si>
    <t>太阳能路灯：70盏，6m杆，30w,锂电池，太阳能板80w</t>
  </si>
  <si>
    <t>东贾壁</t>
  </si>
  <si>
    <t>园区路—西贾壁</t>
  </si>
  <si>
    <t>东贾壁西贾壁村南连接线</t>
  </si>
  <si>
    <t>张新堡</t>
  </si>
  <si>
    <t>中环街</t>
  </si>
  <si>
    <t>中环街环形路硬化</t>
  </si>
  <si>
    <t>村西口—饮牛坡，水泥硬化：800m*6m=4800平方米，厚12cm</t>
  </si>
  <si>
    <t>平陆村</t>
  </si>
  <si>
    <t>西头街：800m*3寸；新隆街700m*3寸；东头街700m*2寸；涉及全部开挖、回填、割补</t>
  </si>
  <si>
    <t>西贾壁</t>
  </si>
  <si>
    <t>4寸*147m,3寸*460m,2寸*400m；割补路面460m，开挖回填460m+147m=607m</t>
  </si>
  <si>
    <t>赵家堡</t>
  </si>
  <si>
    <t>村内主街道</t>
  </si>
  <si>
    <t>人畜饮水改造项目</t>
  </si>
  <si>
    <t>主管道：3寸PF*1500m,2寸PE2700m；1500m+2700m=4200m挖填；2个阀门井</t>
  </si>
  <si>
    <t>乡镇：石庄镇</t>
  </si>
  <si>
    <t>石庄村</t>
  </si>
  <si>
    <t>政府门前路</t>
  </si>
  <si>
    <t>村主街道沥青硬化</t>
  </si>
  <si>
    <t>拓铺油层348平方米*7m,5cm油层；两侧排水渠清淤，更换，164块雨水痹子板</t>
  </si>
  <si>
    <t>前杨寨</t>
  </si>
  <si>
    <t>上梁路</t>
  </si>
  <si>
    <t>北梁田间主干道路扩宽、整修砂铺</t>
  </si>
  <si>
    <t>1、总长砂铺3010m;650m*3m，厚15cm；2360m*4m,厚15cm;2、陡坡处排水设施</t>
  </si>
  <si>
    <t>南广城</t>
  </si>
  <si>
    <t>养鸡场—东武堡</t>
  </si>
  <si>
    <t>田间主干道扩宽沙铺项目</t>
  </si>
  <si>
    <t>1、砂石铺路2500m*4m，厚15cm。2、石坝1座：长12米、宽2米、高6米</t>
  </si>
  <si>
    <t>后杨寨</t>
  </si>
  <si>
    <r>
      <t>去</t>
    </r>
    <r>
      <rPr>
        <sz val="11"/>
        <rFont val="宋体"/>
        <family val="0"/>
      </rPr>
      <t>井路</t>
    </r>
  </si>
  <si>
    <t>硬化田间道路</t>
  </si>
  <si>
    <t>水泥硬化600m*3m*10cm；石坝1处</t>
  </si>
  <si>
    <t>北广城</t>
  </si>
  <si>
    <t>田间道路砂化提质工程</t>
  </si>
  <si>
    <t>星龙坪5000m：东村口—分叉口，300m平整铺砂石；分叉口—大梁（星龙坪）4700m*2.5m；砂铺厚15cm,砖砌坝10m长*4m高*0.37</t>
  </si>
  <si>
    <t>张家庄</t>
  </si>
  <si>
    <t>田间道路拓宽砂化</t>
  </si>
  <si>
    <t>三角沟—田家角1200m*3m*15cm,拓宽200m*3m,砂铺；孟沟—背来700m*3m；孟沟—宋家沟1300m*3m；申家角—渠树洼1500m*3</t>
  </si>
  <si>
    <t>西庄村</t>
  </si>
  <si>
    <t>田间道路新开、扩宽工程</t>
  </si>
  <si>
    <t>全村：新开6900米，拓宽2900米，整修4800米</t>
  </si>
  <si>
    <t>李家庄</t>
  </si>
  <si>
    <t>村内上地路（全村）</t>
  </si>
  <si>
    <t>田间主线路及田间路砂化工程</t>
  </si>
  <si>
    <t>村西北4200m*2.5m,15cm卵石铺</t>
  </si>
  <si>
    <t>曹家庄</t>
  </si>
  <si>
    <t>水井路</t>
  </si>
  <si>
    <t>核桃沟水井道路硬化工程</t>
  </si>
  <si>
    <t>硬化：水井路：1100m*2m*10cm,2个排水口；村内 40m*2.5m*10cm</t>
  </si>
  <si>
    <t>东村</t>
  </si>
  <si>
    <t>同义沟</t>
  </si>
  <si>
    <t>同义沟修筑地坝工程</t>
  </si>
  <si>
    <t>地坝3处:长15m*高4m*宽1.5m</t>
  </si>
  <si>
    <t>谷雨墕</t>
  </si>
  <si>
    <t>会沟—石狮梁</t>
  </si>
  <si>
    <t>通往会沟主道路硬化工程</t>
  </si>
  <si>
    <t>水泥硬化：2500m*3m*10cm,路基本平整</t>
  </si>
  <si>
    <t>菽禾村</t>
  </si>
  <si>
    <t>村内护墙</t>
  </si>
  <si>
    <t>石砌坝：20m长*15m高*1.5m宽；砖砌墙：500m*1m*0.24，</t>
  </si>
  <si>
    <t>东武堡</t>
  </si>
  <si>
    <t>村内上街</t>
  </si>
  <si>
    <t>村庄砌墙工程、环境整治</t>
  </si>
  <si>
    <t>洞口—锡丰街425m*0.37*2m高；锡成街—顺林街50m*0.24*1m高；锦奎街—孝林160m*0.24*1m高</t>
  </si>
  <si>
    <t>西武堡</t>
  </si>
  <si>
    <t>村门—影壁</t>
  </si>
  <si>
    <t>村庄美化工程</t>
  </si>
  <si>
    <t>砖砌二四墙：高1m,长2000m</t>
  </si>
  <si>
    <t>胡家社</t>
  </si>
  <si>
    <t>砂铺田间路工程</t>
  </si>
  <si>
    <t>村门至村内路栏墙长1300米，高1米，240厚</t>
  </si>
  <si>
    <t>原家社</t>
  </si>
  <si>
    <t>村—长里沟</t>
  </si>
  <si>
    <t>田间道路砂铺：长2500m*3m,厚15公分</t>
  </si>
  <si>
    <t>乡镇：杨家庄镇</t>
  </si>
  <si>
    <t>北舍村</t>
  </si>
  <si>
    <t>旧厂院</t>
  </si>
  <si>
    <t>文化活动场所工程</t>
  </si>
  <si>
    <r>
      <t>建筑面积256m2(9间)：长32m*深6.5m</t>
    </r>
    <r>
      <rPr>
        <sz val="10"/>
        <rFont val="宋体"/>
        <family val="0"/>
      </rPr>
      <t>*高3.5m(土建）门窗，地面</t>
    </r>
  </si>
  <si>
    <t>南墕村</t>
  </si>
  <si>
    <t>村内防护墙</t>
  </si>
  <si>
    <t>砖砌村内挡墙1000米*1米*0.24米；水泥硬化路面：800米*2米，厚10公分</t>
  </si>
  <si>
    <t>靳家庄村</t>
  </si>
  <si>
    <t>旧校址</t>
  </si>
  <si>
    <t>农民文化活动中心一期工程</t>
  </si>
  <si>
    <t>建筑面积21.5*8=174.4m2(7间)</t>
  </si>
  <si>
    <t>南垣活村</t>
  </si>
  <si>
    <t>田间道路硬化工程</t>
  </si>
  <si>
    <t>水泥硬化2300m*2.5m*10cm</t>
  </si>
  <si>
    <t>中西庄村</t>
  </si>
  <si>
    <t>水点—抢龙坡</t>
  </si>
  <si>
    <t>水泥硬化：1000m*2.5m*10cm</t>
  </si>
  <si>
    <t>舍科村</t>
  </si>
  <si>
    <t>排水路面</t>
  </si>
  <si>
    <t>砼排水渠1000m*1m宽*8cm厚</t>
  </si>
  <si>
    <t>色头村</t>
  </si>
  <si>
    <t>硬化路、筑水道</t>
  </si>
  <si>
    <t>水泥硬化：570m*3m*10cm；排水渠0.3m*0.4m*1500m</t>
  </si>
  <si>
    <t>中庄村</t>
  </si>
  <si>
    <t>村东寨子路：40m*2.5m*10cm;村口—北舍梁880m*2.5m*10cm；村口—杨家庄供水点：90m*2.5m*10cm，合计1010m</t>
  </si>
  <si>
    <t>后贺家庄村</t>
  </si>
  <si>
    <t>水泥硬化：1100米*2.2米，厚10公分</t>
  </si>
  <si>
    <t>裴家庄村</t>
  </si>
  <si>
    <t>田间道路拓宽硬化工程</t>
  </si>
  <si>
    <t>冯家墕—王家池地界：700m*3m*10cm</t>
  </si>
  <si>
    <t>乔家山</t>
  </si>
  <si>
    <t>林中沟—下斜沟</t>
  </si>
  <si>
    <t>水泥硬化：777m*3m*12cm</t>
  </si>
  <si>
    <t>邓家坪村</t>
  </si>
  <si>
    <t>田间道路拓宽砌水坝</t>
  </si>
  <si>
    <t>新开路：1200m*2.5m；拓宽：13800m,原2m拓宽至3m，12个排水口；</t>
  </si>
  <si>
    <t>前贺家庄村</t>
  </si>
  <si>
    <t>田间道路拓宽改造工程</t>
  </si>
  <si>
    <t>田间道路拓宽4860米，原1.5米，拓宽至3米；新开2620米，宽2.5米</t>
  </si>
  <si>
    <t>村内凿井工程</t>
  </si>
  <si>
    <t>王家池村</t>
  </si>
  <si>
    <t>深井旁</t>
  </si>
  <si>
    <t>深井一眼580m</t>
  </si>
  <si>
    <t>南偏城村</t>
  </si>
  <si>
    <t>村内主街</t>
  </si>
  <si>
    <t>引水管开槽回填</t>
  </si>
  <si>
    <t>主街道：5200m*0.50*1.2；巷道4000m*0.50*1.2,开挖回填割补</t>
  </si>
  <si>
    <t xml:space="preserve"> </t>
  </si>
  <si>
    <t>乡镇：栗家庄乡</t>
  </si>
  <si>
    <t>南花枝</t>
  </si>
  <si>
    <t>村内硬化路面铺油</t>
  </si>
  <si>
    <t>道路硬化（沥青）总长900m(已完工），5cm厚</t>
  </si>
  <si>
    <t>北西庄</t>
  </si>
  <si>
    <t>村东上甲—里上梁裤裆</t>
  </si>
  <si>
    <t>水泥硬化：800m*2.5m*10cm；平整路面：8个水口</t>
  </si>
  <si>
    <t>南垣底</t>
  </si>
  <si>
    <t>文化广场建设工程</t>
  </si>
  <si>
    <t>建筑面积23.8*7=166.6平方米，砖混结构</t>
  </si>
  <si>
    <t>牧庄</t>
  </si>
  <si>
    <t>长廊：长60m*宽1.9m*高2.8m,混凝土花架；亭：六角直径3.2m*高3.5m,石头；碎石走道宽1m*长50m；场地硬化面积120平方米</t>
  </si>
  <si>
    <t>芦家庄</t>
  </si>
  <si>
    <t>水管改造铺油</t>
  </si>
  <si>
    <t>主管道：3吋PE300m；巷道2吋PE1150m；开挖回填、割补：1450m，深1.2m,宽0.8m</t>
  </si>
  <si>
    <t>万户侯</t>
  </si>
  <si>
    <t>村西陈志福下路口—大凹</t>
  </si>
  <si>
    <t>田间路砂化</t>
  </si>
  <si>
    <t>砂铺：3000m*3.5m*10cm砂石</t>
  </si>
  <si>
    <t>张家堡</t>
  </si>
  <si>
    <t>田间路沙化拓宽及砌石坝</t>
  </si>
  <si>
    <t xml:space="preserve">石坝：12m*1m宽*3.5高，7m*0.8m宽*2.5m高；过水桥埋12m*直径80cm管，桥面10m*4m宽；砂铺农田路：牛毛湾1000m*2.5m*15cm厚，东南沟850m*2.5m*15cm </t>
  </si>
  <si>
    <t>兴裕村</t>
  </si>
  <si>
    <t>亮化</t>
  </si>
  <si>
    <t>太阳能55盏，6m杆，30w,锂电池，太阳能板80w</t>
  </si>
  <si>
    <t>田村</t>
  </si>
  <si>
    <t>排水管道铺设</t>
  </si>
  <si>
    <t>正街332m，直径400mm;维红—王子恒150m,直径600mm；李成银石墙100m,直径800mm；刘星街57m,直径300mm；集水井：16个；开挖回填，割补恢复</t>
  </si>
  <si>
    <t>南庄</t>
  </si>
  <si>
    <t>三神庙—阳坡道</t>
  </si>
  <si>
    <t>田间道路硬化</t>
  </si>
  <si>
    <t>水泥硬化：1000m*2.5m*厚10cm</t>
  </si>
  <si>
    <t>南垣寨</t>
  </si>
  <si>
    <t>旧堡街</t>
  </si>
  <si>
    <t>人畜饮水</t>
  </si>
  <si>
    <t>广场—旧堡街：给水管线500m1寸PE管线开挖回填，部分割补恢复</t>
  </si>
  <si>
    <t>杏湾</t>
  </si>
  <si>
    <t>村西田间</t>
  </si>
  <si>
    <t>引水灌溉工程</t>
  </si>
  <si>
    <t>引水管道2510m(管材水利局供给）；54出水口；5个阀门井；挖填；已完工(700亩）</t>
  </si>
  <si>
    <t>河堤</t>
  </si>
  <si>
    <t>村口、庙前</t>
  </si>
  <si>
    <t>街道护坡挡土墙</t>
  </si>
  <si>
    <t>庙前绿化带砖砌挡墙，详见图示；村口挡墙长20m*高13m</t>
  </si>
  <si>
    <t>郝家庄</t>
  </si>
  <si>
    <t>上林舍</t>
  </si>
  <si>
    <t>活动广场建设工程</t>
  </si>
  <si>
    <t>场地硬化：650平方米；台阶：150m*3m,连外墙，台阶地面硬化150m*2=300平方米，挡墙60m*0.24m*2m</t>
  </si>
  <si>
    <t>侯家墕</t>
  </si>
  <si>
    <t>村南-芦家垣</t>
  </si>
  <si>
    <t>田间道路砂铺</t>
  </si>
  <si>
    <t>1、平整整修拓宽：2300米，原3米拓宽到4米其中1000米拓宽1米，高2米。2、砂铺道路2300米*4米，厚15公分</t>
  </si>
  <si>
    <t>安家庄</t>
  </si>
  <si>
    <t>北杨家庄：60m*4m*12cm；马沟街：梁底130m*5m*12cm,路：160m*5m*12cm，水泥硬化。</t>
  </si>
  <si>
    <t>栗家庄</t>
  </si>
  <si>
    <t>乡镇：峪道河镇</t>
  </si>
  <si>
    <t>圪垛村</t>
  </si>
  <si>
    <t>排污管道改造工程</t>
  </si>
  <si>
    <t>主管道：村内230m,φ300mm波纹管，恢复路面；村外270m，φ300mm波纹管，开挖、回填。</t>
  </si>
  <si>
    <t>桑沟村</t>
  </si>
  <si>
    <t>村庄路灯亮化工程</t>
  </si>
  <si>
    <t>60盏太阳能路灯，6米杆，30w,锂电池，太阳能板80w</t>
  </si>
  <si>
    <t>肃静村</t>
  </si>
  <si>
    <t>仙道沟</t>
  </si>
  <si>
    <t>人畜饮水扩建工程</t>
  </si>
  <si>
    <t>仙道沟人畜饮水扩建工程，清除杂物，砌池加高1m，混凝土覆盖顶900平方米及混凝土梁22根，</t>
  </si>
  <si>
    <t>金庄村</t>
  </si>
  <si>
    <t>村日间照料院内</t>
  </si>
  <si>
    <t>文化活动场所</t>
  </si>
  <si>
    <t>1、建筑面积：长22m*宽5m,3间；2、1间图书室30平方米</t>
  </si>
  <si>
    <t>建设中</t>
  </si>
  <si>
    <t>宏寺村</t>
  </si>
  <si>
    <t>混凝土路面硬化工程</t>
  </si>
  <si>
    <t>硬化南街375m*宽8m*15公分</t>
  </si>
  <si>
    <t>田楮村</t>
  </si>
  <si>
    <t>水泥硬化田间道路工程</t>
  </si>
  <si>
    <t>开垣庄村</t>
  </si>
  <si>
    <t>舞台工程</t>
  </si>
  <si>
    <t>维修：17m*14m无顶，全面盖顶及周围</t>
  </si>
  <si>
    <t>赵庄村</t>
  </si>
  <si>
    <t>董-圪垛</t>
  </si>
  <si>
    <t>管道灌溉工程</t>
  </si>
  <si>
    <t>主管道De125：1700mPE管，开挖安装；70m管道；30m倒虹管道30m；出口22个；阀门井1处</t>
  </si>
  <si>
    <t>张家坡村</t>
  </si>
  <si>
    <t>柏草坡井对面</t>
  </si>
  <si>
    <t>人畜饮水工程</t>
  </si>
  <si>
    <t>主管道De75：PE管2000米，开挖回填（深1.6米、宽0.8米），检查井1座:1.5m *1.5m *2m,3个阀门，3个分水器</t>
  </si>
  <si>
    <t>崖头村</t>
  </si>
  <si>
    <t>蓄水高灌工程</t>
  </si>
  <si>
    <t>500立方蓄水池在河床外侧施工，农田1000亩，可浇800亩</t>
  </si>
  <si>
    <t xml:space="preserve">交口村 </t>
  </si>
  <si>
    <t>田间路修造</t>
  </si>
  <si>
    <t>南斜东至西600m*2.5m；东沟口-乔沟梁1000m*3m；马地东头500m*2.5m；西沟区500m;杜家李500m*3m；卵石铺12公分</t>
  </si>
  <si>
    <t>龙湾村</t>
  </si>
  <si>
    <t>人畜饮水自来水入户</t>
  </si>
  <si>
    <t>水窑引水，全部入户：主街2寸PE*1200m,1寸PE*2200m(1m*0.6m)，恢复路面10公分</t>
  </si>
  <si>
    <t>柏草坡村</t>
  </si>
  <si>
    <t>宋家庄村</t>
  </si>
  <si>
    <t>水泥硬化：石北沟-小桥：800m；牛槽头-天尽头：1200m；硬化10公分*2.5m</t>
  </si>
  <si>
    <t>王盛庄村</t>
  </si>
  <si>
    <t>斜道</t>
  </si>
  <si>
    <t>U型渠建设工程</t>
  </si>
  <si>
    <t>40U型渠2830m：西头950m,小沟980m，东头900m</t>
  </si>
  <si>
    <t>向阳村</t>
  </si>
  <si>
    <t>哈沟-村东</t>
  </si>
  <si>
    <t>饮水工程</t>
  </si>
  <si>
    <t>蓄水池-分水包：4寸(PE110)，639m(1m*0.6m)；分水包分4根管道2寸(PE63)（涉及破路），全长4800m(1m*0.6m)恢复（其中1050m*20公分厚，其余按12公分厚）</t>
  </si>
  <si>
    <t>刘村</t>
  </si>
  <si>
    <t>太阳能路灯工程</t>
  </si>
  <si>
    <t>82盏太阳能路灯，6m杆，LED灯30W，板80W，锂电50AH</t>
  </si>
  <si>
    <t>乡镇</t>
  </si>
  <si>
    <t>报审项目个数</t>
  </si>
  <si>
    <t>审定项目个数</t>
  </si>
  <si>
    <t>审定预算额</t>
  </si>
  <si>
    <t>奖补计划金额</t>
  </si>
  <si>
    <t>西河</t>
  </si>
  <si>
    <t>文峰</t>
  </si>
  <si>
    <t>辰北</t>
  </si>
  <si>
    <t>肖家庄</t>
  </si>
  <si>
    <t>演武</t>
  </si>
  <si>
    <t>阳城</t>
  </si>
  <si>
    <t>三泉</t>
  </si>
  <si>
    <t>石庄</t>
  </si>
  <si>
    <t>杨家庄</t>
  </si>
  <si>
    <t>峪道河</t>
  </si>
  <si>
    <t xml:space="preserve">              2014年农村“一事一议”财政奖补资金计划领取表</t>
  </si>
  <si>
    <t>计划文件</t>
  </si>
  <si>
    <t>制度汇编</t>
  </si>
  <si>
    <t>文本</t>
  </si>
  <si>
    <t>领取人签字</t>
  </si>
  <si>
    <t>南熏</t>
  </si>
  <si>
    <t>杏花</t>
  </si>
  <si>
    <t>学校院内</t>
  </si>
  <si>
    <t>活动广场</t>
  </si>
  <si>
    <t>花架长廊43.2米，木结构仿古六角亭一座(1.5米*6边)，半径15米花坛(钢砼断面0.75*0.25+0.4*0.6)一座，篮球场12cm硬化34m*17.5m</t>
  </si>
  <si>
    <t>建设项目名称</t>
  </si>
  <si>
    <t>备注</t>
  </si>
  <si>
    <t>项目实施后无效益</t>
  </si>
  <si>
    <t>备注</t>
  </si>
  <si>
    <t>备注</t>
  </si>
  <si>
    <t>场地硬化40m*80m*10cm；30m*32m*10cm</t>
  </si>
  <si>
    <t>备注</t>
  </si>
  <si>
    <t>湖岸护栏280米，游乐场栏杆围墙150米</t>
  </si>
  <si>
    <t>石砌排水渠380米，上宽80公分，下宽60公分，高80公分，壁厚30-50公分，7个过路盖板（4米宽）</t>
  </si>
  <si>
    <t>硬化：450m*6m*厚15cm，</t>
  </si>
  <si>
    <t>道路硬化：宽3m,厚10公分，1200m（水道-斜坡路口140m、东斜口1060m）</t>
  </si>
  <si>
    <t>水道-斜坡路口-  东斜口</t>
  </si>
  <si>
    <t>水泥硬化：槐树梁：450m*3m*0.1m；中达木550m*3m*0.1m；</t>
  </si>
  <si>
    <t>2018年农村“一事一议”财政奖补项目投资评审及资金计划汇总表 (分乡镇）</t>
  </si>
  <si>
    <t>审定项目报审预算额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</si>
</sst>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-* #,##0_-;\-* #,##0_-;_-* &quot;-&quot;_-;_-@_-"/>
    <numFmt numFmtId="178" formatCode="mmm\ dd\,\ yy"/>
    <numFmt numFmtId="179" formatCode="mm/dd/yy_)"/>
    <numFmt numFmtId="180" formatCode="_-* #,##0.00_-;\-* #,##0.00_-;_-* &quot;-&quot;??_-;_-@_-"/>
    <numFmt numFmtId="181" formatCode="_(&quot;$&quot;* #,##0_);_(&quot;$&quot;* \(#,##0\);_(&quot;$&quot;* &quot;-&quot;??_);_(@_)"/>
    <numFmt numFmtId="182" formatCode="0_ "/>
    <numFmt numFmtId="183" formatCode="0_);[Red]\(0\)"/>
  </numFmts>
  <fonts count="3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50"/>
      <name val="宋体"/>
      <family val="0"/>
    </font>
    <font>
      <sz val="10"/>
      <color indexed="8"/>
      <name val="宋体"/>
      <family val="0"/>
    </font>
    <font>
      <sz val="11"/>
      <color indexed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2"/>
      <name val="바탕체"/>
      <family val="3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name val="蹈框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5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8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7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>
      <alignment/>
      <protection/>
    </xf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26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82" fontId="7" fillId="0" borderId="10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82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83" fontId="1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183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2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183" fontId="5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콤마 [0]_BOILER-CO1" xfId="50"/>
    <cellStyle name="콤마_BOILER-CO1" xfId="51"/>
    <cellStyle name="통화 [0]_BOILER-CO1" xfId="52"/>
    <cellStyle name="통화_BOILER-CO1" xfId="53"/>
    <cellStyle name="표준_0N-HANDLING " xfId="54"/>
    <cellStyle name="霓付 [0]_97MBO" xfId="55"/>
    <cellStyle name="霓付_97MBO" xfId="56"/>
    <cellStyle name="烹拳 [0]_97MBO" xfId="57"/>
    <cellStyle name="烹拳_97MBO" xfId="58"/>
    <cellStyle name="普通_ 白土" xfId="59"/>
    <cellStyle name="千分位[0]_ 白土" xfId="60"/>
    <cellStyle name="千分位_ 白土" xfId="61"/>
    <cellStyle name="千位[0]_laroux" xfId="62"/>
    <cellStyle name="千位_laroux" xfId="63"/>
    <cellStyle name="Comma" xfId="64"/>
    <cellStyle name="Comma [0]" xfId="65"/>
    <cellStyle name="钎霖_laroux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7"/>
  <sheetViews>
    <sheetView workbookViewId="0" topLeftCell="A1">
      <selection activeCell="L14" sqref="L14"/>
    </sheetView>
  </sheetViews>
  <sheetFormatPr defaultColWidth="9.00390625" defaultRowHeight="14.25"/>
  <cols>
    <col min="1" max="1" width="3.875" style="2" customWidth="1"/>
    <col min="2" max="2" width="6.625" style="2" customWidth="1"/>
    <col min="3" max="7" width="6.625" style="2" hidden="1" customWidth="1"/>
    <col min="8" max="8" width="7.625" style="2" hidden="1" customWidth="1"/>
    <col min="9" max="9" width="8.125" style="2" hidden="1" customWidth="1"/>
    <col min="10" max="10" width="10.875" style="3" customWidth="1"/>
    <col min="11" max="11" width="15.375" style="3" customWidth="1"/>
    <col min="12" max="12" width="36.25390625" style="19" customWidth="1"/>
    <col min="13" max="13" width="10.75390625" style="2" customWidth="1"/>
    <col min="14" max="14" width="10.375" style="2" customWidth="1"/>
    <col min="15" max="15" width="9.625" style="2" customWidth="1"/>
    <col min="16" max="16" width="9.00390625" style="3" hidden="1" customWidth="1"/>
    <col min="17" max="17" width="5.625" style="2" hidden="1" customWidth="1"/>
    <col min="18" max="18" width="6.375" style="2" hidden="1" customWidth="1"/>
    <col min="19" max="16384" width="9.00390625" style="2" customWidth="1"/>
  </cols>
  <sheetData>
    <row r="1" spans="1:18" ht="34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6" ht="13.5">
      <c r="A2" s="2" t="s">
        <v>1</v>
      </c>
      <c r="B2" s="2" t="s">
        <v>2</v>
      </c>
      <c r="P2" s="3" t="s">
        <v>3</v>
      </c>
    </row>
    <row r="3" spans="1:19" s="1" customFormat="1" ht="39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515</v>
      </c>
      <c r="L3" s="6" t="s">
        <v>15</v>
      </c>
      <c r="M3" s="6" t="s">
        <v>16</v>
      </c>
      <c r="N3" s="6" t="s">
        <v>17</v>
      </c>
      <c r="O3" s="6" t="s">
        <v>18</v>
      </c>
      <c r="P3" s="25" t="s">
        <v>19</v>
      </c>
      <c r="Q3" s="6" t="s">
        <v>20</v>
      </c>
      <c r="R3" s="25" t="s">
        <v>19</v>
      </c>
      <c r="S3" s="5" t="s">
        <v>518</v>
      </c>
    </row>
    <row r="4" spans="1:19" s="1" customFormat="1" ht="28.5" customHeight="1">
      <c r="A4" s="6">
        <v>1</v>
      </c>
      <c r="B4" s="27" t="s">
        <v>21</v>
      </c>
      <c r="C4" s="6">
        <v>461</v>
      </c>
      <c r="D4" s="6">
        <v>1111</v>
      </c>
      <c r="E4" s="6">
        <v>700</v>
      </c>
      <c r="F4" s="6">
        <v>10500</v>
      </c>
      <c r="G4" s="6"/>
      <c r="H4" s="6"/>
      <c r="I4" s="6"/>
      <c r="J4" s="6" t="s">
        <v>22</v>
      </c>
      <c r="K4" s="6" t="s">
        <v>23</v>
      </c>
      <c r="L4" s="47" t="s">
        <v>24</v>
      </c>
      <c r="M4" s="6">
        <v>295802.4</v>
      </c>
      <c r="N4" s="6">
        <f>(700*32+4607*5+5307*(10+0.45*40))</f>
        <v>194031</v>
      </c>
      <c r="O4" s="58">
        <f>N4*0.6</f>
        <v>116418.59999999999</v>
      </c>
      <c r="P4" s="28" t="s">
        <v>25</v>
      </c>
      <c r="Q4" s="5" t="s">
        <v>26</v>
      </c>
      <c r="R4" s="67" t="s">
        <v>27</v>
      </c>
      <c r="S4" s="5"/>
    </row>
    <row r="5" spans="1:19" s="15" customFormat="1" ht="48" customHeight="1">
      <c r="A5" s="6">
        <v>2</v>
      </c>
      <c r="B5" s="43" t="s">
        <v>28</v>
      </c>
      <c r="C5" s="43"/>
      <c r="D5" s="43"/>
      <c r="E5" s="43"/>
      <c r="F5" s="43"/>
      <c r="G5" s="43"/>
      <c r="H5" s="43"/>
      <c r="I5" s="43"/>
      <c r="J5" s="43" t="s">
        <v>29</v>
      </c>
      <c r="K5" s="43" t="s">
        <v>30</v>
      </c>
      <c r="L5" s="47" t="s">
        <v>514</v>
      </c>
      <c r="M5" s="43">
        <f>125787.22+140870.91+81895.26</f>
        <v>348553.39</v>
      </c>
      <c r="N5" s="7">
        <f>43.2*3.5*700+60000+(0.25*0.75+0.4*0.55)*3.14*15*2*1000</f>
        <v>204226.5</v>
      </c>
      <c r="O5" s="58">
        <f>N5*0.6</f>
        <v>122535.9</v>
      </c>
      <c r="P5" s="32"/>
      <c r="Q5" s="39" t="s">
        <v>26</v>
      </c>
      <c r="R5" s="66" t="s">
        <v>27</v>
      </c>
      <c r="S5" s="39"/>
    </row>
    <row r="6" spans="1:19" s="15" customFormat="1" ht="28.5" customHeight="1">
      <c r="A6" s="6">
        <v>2</v>
      </c>
      <c r="B6" s="43" t="s">
        <v>31</v>
      </c>
      <c r="C6" s="43"/>
      <c r="D6" s="43"/>
      <c r="E6" s="43"/>
      <c r="F6" s="43"/>
      <c r="G6" s="43"/>
      <c r="H6" s="43"/>
      <c r="I6" s="43"/>
      <c r="J6" s="43"/>
      <c r="K6" s="43"/>
      <c r="L6" s="63"/>
      <c r="M6" s="43">
        <f>M4+M5</f>
        <v>644355.79</v>
      </c>
      <c r="N6" s="64">
        <f>N4+N5</f>
        <v>398257.5</v>
      </c>
      <c r="O6" s="104">
        <f>O4+O5</f>
        <v>238954.5</v>
      </c>
      <c r="P6" s="65"/>
      <c r="Q6" s="48"/>
      <c r="R6" s="48"/>
      <c r="S6" s="39"/>
    </row>
    <row r="7" spans="2:16" s="18" customFormat="1" ht="15" customHeight="1">
      <c r="B7" s="23" t="s">
        <v>32</v>
      </c>
      <c r="C7" s="23"/>
      <c r="D7" s="23"/>
      <c r="E7" s="23"/>
      <c r="F7" s="23"/>
      <c r="G7" s="23"/>
      <c r="H7" s="23"/>
      <c r="I7" s="23"/>
      <c r="J7" s="37"/>
      <c r="K7" s="23"/>
      <c r="L7" s="38"/>
      <c r="P7" s="37"/>
    </row>
    <row r="8" spans="1:16" s="1" customFormat="1" ht="15" customHeight="1">
      <c r="A8" s="18"/>
      <c r="B8" s="24" t="s">
        <v>33</v>
      </c>
      <c r="C8" s="24"/>
      <c r="D8" s="24"/>
      <c r="E8" s="24"/>
      <c r="F8" s="24"/>
      <c r="G8" s="24"/>
      <c r="H8" s="24"/>
      <c r="I8" s="24"/>
      <c r="J8" s="3"/>
      <c r="K8" s="24"/>
      <c r="L8" s="19"/>
      <c r="P8" s="3"/>
    </row>
    <row r="9" spans="1:16" s="1" customFormat="1" ht="15" customHeight="1">
      <c r="A9" s="18"/>
      <c r="B9" s="24" t="s">
        <v>34</v>
      </c>
      <c r="C9" s="24"/>
      <c r="D9" s="24"/>
      <c r="E9" s="24"/>
      <c r="F9" s="24"/>
      <c r="G9" s="24"/>
      <c r="H9" s="24"/>
      <c r="I9" s="24"/>
      <c r="J9" s="3"/>
      <c r="K9" s="24"/>
      <c r="L9" s="19"/>
      <c r="P9" s="3"/>
    </row>
    <row r="10" spans="1:16" s="1" customFormat="1" ht="30" customHeight="1">
      <c r="A10" s="18"/>
      <c r="J10" s="3"/>
      <c r="K10" s="3"/>
      <c r="L10" s="19"/>
      <c r="P10" s="3"/>
    </row>
    <row r="11" spans="1:16" s="1" customFormat="1" ht="30" customHeight="1">
      <c r="A11" s="18"/>
      <c r="J11" s="3"/>
      <c r="K11" s="3"/>
      <c r="L11" s="19"/>
      <c r="P11" s="3"/>
    </row>
    <row r="12" spans="1:16" s="1" customFormat="1" ht="30" customHeight="1">
      <c r="A12" s="18"/>
      <c r="J12" s="3"/>
      <c r="K12" s="3"/>
      <c r="L12" s="19"/>
      <c r="P12" s="3"/>
    </row>
    <row r="13" spans="1:16" s="1" customFormat="1" ht="30" customHeight="1">
      <c r="A13" s="18"/>
      <c r="J13" s="3"/>
      <c r="K13" s="3"/>
      <c r="L13" s="19"/>
      <c r="P13" s="3"/>
    </row>
    <row r="14" spans="1:16" s="1" customFormat="1" ht="30" customHeight="1">
      <c r="A14" s="18"/>
      <c r="J14" s="3"/>
      <c r="K14" s="3"/>
      <c r="L14" s="19"/>
      <c r="P14" s="3"/>
    </row>
    <row r="15" ht="30" customHeight="1">
      <c r="A15" s="18"/>
    </row>
    <row r="16" ht="30" customHeight="1">
      <c r="A16" s="18"/>
    </row>
    <row r="17" ht="30" customHeight="1">
      <c r="A17" s="18"/>
    </row>
    <row r="18" ht="30" customHeight="1">
      <c r="A18" s="18"/>
    </row>
    <row r="19" ht="30" customHeight="1">
      <c r="A19" s="18"/>
    </row>
    <row r="20" ht="30" customHeight="1">
      <c r="A20" s="1"/>
    </row>
    <row r="21" ht="30" customHeight="1">
      <c r="A21" s="1"/>
    </row>
    <row r="22" ht="30" customHeight="1">
      <c r="A22" s="1"/>
    </row>
    <row r="23" ht="30" customHeight="1">
      <c r="A23" s="1"/>
    </row>
    <row r="24" ht="30" customHeight="1">
      <c r="A24" s="1"/>
    </row>
    <row r="25" ht="30" customHeight="1">
      <c r="A25" s="1"/>
    </row>
    <row r="26" ht="30" customHeight="1">
      <c r="A26" s="1"/>
    </row>
    <row r="27" ht="30" customHeight="1">
      <c r="A27" s="1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/>
  <mergeCells count="1">
    <mergeCell ref="A1:R1"/>
  </mergeCells>
  <printOptions/>
  <pageMargins left="1.26" right="0.75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V41"/>
  <sheetViews>
    <sheetView workbookViewId="0" topLeftCell="A1">
      <pane xSplit="2" ySplit="1" topLeftCell="K6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4.25"/>
  <cols>
    <col min="1" max="1" width="3.875" style="2" customWidth="1"/>
    <col min="2" max="2" width="6.625" style="2" customWidth="1"/>
    <col min="3" max="7" width="6.625" style="2" hidden="1" customWidth="1"/>
    <col min="8" max="8" width="7.625" style="2" hidden="1" customWidth="1"/>
    <col min="9" max="9" width="8.125" style="2" hidden="1" customWidth="1"/>
    <col min="10" max="10" width="10.50390625" style="3" customWidth="1"/>
    <col min="11" max="11" width="19.125" style="3" customWidth="1"/>
    <col min="12" max="12" width="48.50390625" style="19" customWidth="1"/>
    <col min="13" max="13" width="10.75390625" style="2" customWidth="1"/>
    <col min="14" max="14" width="10.375" style="2" customWidth="1"/>
    <col min="15" max="15" width="9.25390625" style="2" customWidth="1"/>
    <col min="16" max="16" width="9.00390625" style="3" hidden="1" customWidth="1"/>
    <col min="17" max="17" width="5.625" style="2" hidden="1" customWidth="1"/>
    <col min="18" max="18" width="6.375" style="2" hidden="1" customWidth="1"/>
    <col min="19" max="19" width="7.125" style="2" customWidth="1"/>
    <col min="20" max="16384" width="9.00390625" style="2" customWidth="1"/>
  </cols>
  <sheetData>
    <row r="1" spans="1:18" ht="30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6" ht="13.5">
      <c r="A2" s="2" t="s">
        <v>272</v>
      </c>
      <c r="P2" s="3" t="s">
        <v>3</v>
      </c>
    </row>
    <row r="3" spans="1:22" s="1" customFormat="1" ht="26.2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25" t="s">
        <v>19</v>
      </c>
      <c r="Q3" s="6" t="s">
        <v>20</v>
      </c>
      <c r="R3" s="25" t="s">
        <v>19</v>
      </c>
      <c r="S3" s="5" t="s">
        <v>516</v>
      </c>
      <c r="T3" s="18"/>
      <c r="U3" s="18"/>
      <c r="V3" s="18"/>
    </row>
    <row r="4" spans="1:22" s="14" customFormat="1" ht="22.5" customHeight="1">
      <c r="A4" s="6">
        <v>1</v>
      </c>
      <c r="B4" s="6" t="s">
        <v>273</v>
      </c>
      <c r="C4" s="6">
        <v>734</v>
      </c>
      <c r="D4" s="6">
        <v>2400</v>
      </c>
      <c r="E4" s="6">
        <v>1230</v>
      </c>
      <c r="F4" s="6">
        <v>18450</v>
      </c>
      <c r="G4" s="6"/>
      <c r="H4" s="6"/>
      <c r="I4" s="6"/>
      <c r="J4" s="6" t="s">
        <v>274</v>
      </c>
      <c r="K4" s="6" t="s">
        <v>275</v>
      </c>
      <c r="L4" s="26" t="s">
        <v>276</v>
      </c>
      <c r="M4" s="6">
        <v>299800</v>
      </c>
      <c r="N4" s="6">
        <f>348*7*66+348*10+164*150</f>
        <v>188856</v>
      </c>
      <c r="O4" s="58">
        <f>N4*0.6</f>
        <v>113313.59999999999</v>
      </c>
      <c r="P4" s="6"/>
      <c r="Q4" s="6"/>
      <c r="R4" s="25"/>
      <c r="S4" s="5"/>
      <c r="T4" s="51"/>
      <c r="U4" s="51"/>
      <c r="V4" s="51"/>
    </row>
    <row r="5" spans="1:22" s="1" customFormat="1" ht="24">
      <c r="A5" s="6">
        <v>2</v>
      </c>
      <c r="B5" s="6" t="s">
        <v>277</v>
      </c>
      <c r="C5" s="6">
        <v>216</v>
      </c>
      <c r="D5" s="6">
        <v>556</v>
      </c>
      <c r="E5" s="6">
        <v>350</v>
      </c>
      <c r="F5" s="6">
        <v>5250</v>
      </c>
      <c r="G5" s="6"/>
      <c r="H5" s="6"/>
      <c r="I5" s="6"/>
      <c r="J5" s="6" t="s">
        <v>278</v>
      </c>
      <c r="K5" s="6" t="s">
        <v>279</v>
      </c>
      <c r="L5" s="26" t="s">
        <v>280</v>
      </c>
      <c r="M5" s="6">
        <v>176030</v>
      </c>
      <c r="N5" s="6">
        <f>(650*3+2360*4)*10+2600*20*0+10000</f>
        <v>123900</v>
      </c>
      <c r="O5" s="58">
        <f aca="true" t="shared" si="0" ref="O5:O19">N5*0.6</f>
        <v>74340</v>
      </c>
      <c r="P5" s="29"/>
      <c r="Q5" s="5" t="s">
        <v>26</v>
      </c>
      <c r="R5" s="67" t="s">
        <v>27</v>
      </c>
      <c r="S5" s="5"/>
      <c r="T5" s="18"/>
      <c r="U5" s="18"/>
      <c r="V5" s="18"/>
    </row>
    <row r="6" spans="1:22" s="14" customFormat="1" ht="24.75" customHeight="1">
      <c r="A6" s="6">
        <v>3</v>
      </c>
      <c r="B6" s="6" t="s">
        <v>281</v>
      </c>
      <c r="C6" s="6">
        <v>287</v>
      </c>
      <c r="D6" s="6">
        <v>820</v>
      </c>
      <c r="E6" s="6">
        <v>465</v>
      </c>
      <c r="F6" s="6">
        <v>6975</v>
      </c>
      <c r="G6" s="6"/>
      <c r="H6" s="6"/>
      <c r="I6" s="6"/>
      <c r="J6" s="6" t="s">
        <v>282</v>
      </c>
      <c r="K6" s="6" t="s">
        <v>283</v>
      </c>
      <c r="L6" s="26" t="s">
        <v>284</v>
      </c>
      <c r="M6" s="6">
        <v>298000</v>
      </c>
      <c r="N6" s="6">
        <f>2500*4*13.3+12*2*6*280</f>
        <v>173320</v>
      </c>
      <c r="O6" s="58">
        <f t="shared" si="0"/>
        <v>103992</v>
      </c>
      <c r="P6" s="29"/>
      <c r="Q6" s="5" t="s">
        <v>26</v>
      </c>
      <c r="R6" s="67" t="s">
        <v>25</v>
      </c>
      <c r="S6" s="5"/>
      <c r="T6" s="51"/>
      <c r="U6" s="51"/>
      <c r="V6" s="51"/>
    </row>
    <row r="7" spans="1:22" s="14" customFormat="1" ht="19.5" customHeight="1">
      <c r="A7" s="6">
        <v>4</v>
      </c>
      <c r="B7" s="6" t="s">
        <v>285</v>
      </c>
      <c r="C7" s="6">
        <v>144</v>
      </c>
      <c r="D7" s="6">
        <v>352</v>
      </c>
      <c r="E7" s="6">
        <v>328</v>
      </c>
      <c r="F7" s="6">
        <v>4920</v>
      </c>
      <c r="G7" s="6"/>
      <c r="H7" s="6"/>
      <c r="I7" s="6"/>
      <c r="J7" s="33" t="s">
        <v>286</v>
      </c>
      <c r="K7" s="6" t="s">
        <v>287</v>
      </c>
      <c r="L7" s="26" t="s">
        <v>288</v>
      </c>
      <c r="M7" s="6">
        <v>300000</v>
      </c>
      <c r="N7" s="6">
        <f>600*3*50+10*5*1*280</f>
        <v>104000</v>
      </c>
      <c r="O7" s="58">
        <f t="shared" si="0"/>
        <v>62400</v>
      </c>
      <c r="P7" s="29"/>
      <c r="Q7" s="5" t="s">
        <v>26</v>
      </c>
      <c r="R7" s="67" t="s">
        <v>25</v>
      </c>
      <c r="S7" s="5"/>
      <c r="T7" s="51"/>
      <c r="U7" s="51"/>
      <c r="V7" s="51"/>
    </row>
    <row r="8" spans="1:22" s="16" customFormat="1" ht="33.75" customHeight="1">
      <c r="A8" s="6">
        <v>5</v>
      </c>
      <c r="B8" s="6" t="s">
        <v>289</v>
      </c>
      <c r="C8" s="6">
        <v>102</v>
      </c>
      <c r="D8" s="6">
        <v>275</v>
      </c>
      <c r="E8" s="6">
        <v>270</v>
      </c>
      <c r="F8" s="6">
        <v>4050</v>
      </c>
      <c r="G8" s="6">
        <v>24750</v>
      </c>
      <c r="H8" s="6"/>
      <c r="I8" s="6"/>
      <c r="J8" s="6" t="s">
        <v>22</v>
      </c>
      <c r="K8" s="6" t="s">
        <v>290</v>
      </c>
      <c r="L8" s="26" t="s">
        <v>291</v>
      </c>
      <c r="M8" s="6">
        <v>298800</v>
      </c>
      <c r="N8" s="6">
        <f>(300*2.5+4700*2.5)*13.3+300*5+10*4*0.37*460</f>
        <v>174558</v>
      </c>
      <c r="O8" s="58">
        <f t="shared" si="0"/>
        <v>104734.8</v>
      </c>
      <c r="P8" s="34"/>
      <c r="Q8" s="40" t="s">
        <v>26</v>
      </c>
      <c r="R8" s="79" t="s">
        <v>25</v>
      </c>
      <c r="S8" s="5"/>
      <c r="T8" s="52"/>
      <c r="U8" s="52"/>
      <c r="V8" s="52"/>
    </row>
    <row r="9" spans="1:22" s="1" customFormat="1" ht="31.5" customHeight="1">
      <c r="A9" s="6">
        <v>6</v>
      </c>
      <c r="B9" s="6" t="s">
        <v>292</v>
      </c>
      <c r="C9" s="6">
        <v>182</v>
      </c>
      <c r="D9" s="6">
        <v>510</v>
      </c>
      <c r="E9" s="6">
        <v>291</v>
      </c>
      <c r="F9" s="6">
        <v>4365</v>
      </c>
      <c r="G9" s="6"/>
      <c r="H9" s="6"/>
      <c r="I9" s="6"/>
      <c r="J9" s="6" t="s">
        <v>22</v>
      </c>
      <c r="K9" s="6" t="s">
        <v>293</v>
      </c>
      <c r="L9" s="26" t="s">
        <v>294</v>
      </c>
      <c r="M9" s="6">
        <v>297000</v>
      </c>
      <c r="N9" s="6">
        <f>(1200*3+700*3+1100*3+1500*3)*13.3+200*3*50*0</f>
        <v>179550</v>
      </c>
      <c r="O9" s="58">
        <f t="shared" si="0"/>
        <v>107730</v>
      </c>
      <c r="P9" s="29"/>
      <c r="Q9" s="5" t="s">
        <v>26</v>
      </c>
      <c r="R9" s="67" t="s">
        <v>27</v>
      </c>
      <c r="S9" s="5"/>
      <c r="T9" s="18"/>
      <c r="U9" s="18"/>
      <c r="V9" s="18"/>
    </row>
    <row r="10" spans="1:22" s="14" customFormat="1" ht="25.5" customHeight="1">
      <c r="A10" s="6">
        <v>7</v>
      </c>
      <c r="B10" s="6" t="s">
        <v>295</v>
      </c>
      <c r="C10" s="6">
        <v>178</v>
      </c>
      <c r="D10" s="6">
        <v>461</v>
      </c>
      <c r="E10" s="6">
        <v>296</v>
      </c>
      <c r="F10" s="6">
        <v>4440</v>
      </c>
      <c r="G10" s="6"/>
      <c r="H10" s="6"/>
      <c r="I10" s="6"/>
      <c r="J10" s="6" t="s">
        <v>247</v>
      </c>
      <c r="K10" s="6" t="s">
        <v>296</v>
      </c>
      <c r="L10" s="26" t="s">
        <v>297</v>
      </c>
      <c r="M10" s="6">
        <v>274440</v>
      </c>
      <c r="N10" s="6">
        <f>6900*15+2900*5+4800*2</f>
        <v>127600</v>
      </c>
      <c r="O10" s="58">
        <f t="shared" si="0"/>
        <v>76560</v>
      </c>
      <c r="P10" s="29"/>
      <c r="Q10" s="5" t="s">
        <v>26</v>
      </c>
      <c r="R10" s="67" t="s">
        <v>27</v>
      </c>
      <c r="S10" s="5"/>
      <c r="T10" s="51"/>
      <c r="U10" s="51"/>
      <c r="V10" s="51"/>
    </row>
    <row r="11" spans="1:22" s="17" customFormat="1" ht="25.5" customHeight="1">
      <c r="A11" s="6">
        <v>8</v>
      </c>
      <c r="B11" s="6" t="s">
        <v>298</v>
      </c>
      <c r="C11" s="6">
        <v>102</v>
      </c>
      <c r="D11" s="6">
        <v>312</v>
      </c>
      <c r="E11" s="6">
        <v>250</v>
      </c>
      <c r="F11" s="6">
        <v>3750</v>
      </c>
      <c r="G11" s="6"/>
      <c r="H11" s="6"/>
      <c r="I11" s="6"/>
      <c r="J11" s="6" t="s">
        <v>299</v>
      </c>
      <c r="K11" s="6" t="s">
        <v>300</v>
      </c>
      <c r="L11" s="26" t="s">
        <v>301</v>
      </c>
      <c r="M11" s="6">
        <v>264300</v>
      </c>
      <c r="N11" s="6">
        <f>(7400-1800-1400)*2.5*13.3</f>
        <v>139650</v>
      </c>
      <c r="O11" s="58">
        <f t="shared" si="0"/>
        <v>83790</v>
      </c>
      <c r="P11" s="6">
        <f>SUM(P4:P10)</f>
        <v>0</v>
      </c>
      <c r="Q11" s="5"/>
      <c r="R11" s="67"/>
      <c r="S11" s="5"/>
      <c r="T11" s="18"/>
      <c r="U11" s="18"/>
      <c r="V11" s="18"/>
    </row>
    <row r="12" spans="1:19" s="18" customFormat="1" ht="27">
      <c r="A12" s="6">
        <v>9</v>
      </c>
      <c r="B12" s="6" t="s">
        <v>302</v>
      </c>
      <c r="C12" s="6">
        <v>121</v>
      </c>
      <c r="D12" s="6">
        <v>320</v>
      </c>
      <c r="E12" s="6">
        <v>190</v>
      </c>
      <c r="F12" s="6">
        <v>2850</v>
      </c>
      <c r="G12" s="6"/>
      <c r="H12" s="6"/>
      <c r="I12" s="6"/>
      <c r="J12" s="6" t="s">
        <v>303</v>
      </c>
      <c r="K12" s="6" t="s">
        <v>304</v>
      </c>
      <c r="L12" s="26" t="s">
        <v>305</v>
      </c>
      <c r="M12" s="6">
        <v>270025</v>
      </c>
      <c r="N12" s="6">
        <f>1100*2*50+2*1000+40*2.5*50</f>
        <v>117000</v>
      </c>
      <c r="O12" s="58">
        <f t="shared" si="0"/>
        <v>70200</v>
      </c>
      <c r="P12" s="37"/>
      <c r="S12" s="5"/>
    </row>
    <row r="13" spans="1:19" s="18" customFormat="1" ht="13.5">
      <c r="A13" s="6">
        <v>10</v>
      </c>
      <c r="B13" s="6" t="s">
        <v>306</v>
      </c>
      <c r="C13" s="6">
        <v>88</v>
      </c>
      <c r="D13" s="6">
        <v>210</v>
      </c>
      <c r="E13" s="6">
        <v>150</v>
      </c>
      <c r="F13" s="6">
        <v>2250</v>
      </c>
      <c r="G13" s="6"/>
      <c r="H13" s="6"/>
      <c r="I13" s="6"/>
      <c r="J13" s="6" t="s">
        <v>307</v>
      </c>
      <c r="K13" s="6" t="s">
        <v>308</v>
      </c>
      <c r="L13" s="26" t="s">
        <v>309</v>
      </c>
      <c r="M13" s="6">
        <v>280950</v>
      </c>
      <c r="N13" s="6">
        <f>15*4*1.5*3*280+15000</f>
        <v>90600</v>
      </c>
      <c r="O13" s="58">
        <f t="shared" si="0"/>
        <v>54360</v>
      </c>
      <c r="P13" s="37"/>
      <c r="S13" s="5"/>
    </row>
    <row r="14" spans="1:19" s="18" customFormat="1" ht="26.25" customHeight="1">
      <c r="A14" s="6">
        <v>11</v>
      </c>
      <c r="B14" s="6" t="s">
        <v>310</v>
      </c>
      <c r="C14" s="6">
        <v>128</v>
      </c>
      <c r="D14" s="6">
        <v>309</v>
      </c>
      <c r="E14" s="6">
        <v>300</v>
      </c>
      <c r="F14" s="6">
        <v>4500</v>
      </c>
      <c r="G14" s="6"/>
      <c r="H14" s="6"/>
      <c r="I14" s="6"/>
      <c r="J14" s="6" t="s">
        <v>311</v>
      </c>
      <c r="K14" s="6" t="s">
        <v>312</v>
      </c>
      <c r="L14" s="26" t="s">
        <v>313</v>
      </c>
      <c r="M14" s="6">
        <v>270000</v>
      </c>
      <c r="N14" s="6">
        <f>2500*3*50*0+270000</f>
        <v>270000</v>
      </c>
      <c r="O14" s="58">
        <f t="shared" si="0"/>
        <v>162000</v>
      </c>
      <c r="P14" s="6">
        <f>SUM(P4:P13)</f>
        <v>0</v>
      </c>
      <c r="Q14" s="6">
        <f>SUM(Q4:Q13)</f>
        <v>0</v>
      </c>
      <c r="R14" s="25">
        <f>SUM(R4:R13)</f>
        <v>0</v>
      </c>
      <c r="S14" s="80"/>
    </row>
    <row r="15" spans="1:19" s="18" customFormat="1" ht="16.5" customHeight="1">
      <c r="A15" s="6">
        <v>12</v>
      </c>
      <c r="B15" s="6" t="s">
        <v>314</v>
      </c>
      <c r="C15" s="6">
        <v>210</v>
      </c>
      <c r="D15" s="6">
        <v>546</v>
      </c>
      <c r="E15" s="6">
        <v>335</v>
      </c>
      <c r="F15" s="6">
        <v>5025</v>
      </c>
      <c r="G15" s="6"/>
      <c r="H15" s="6"/>
      <c r="I15" s="6"/>
      <c r="J15" s="6" t="s">
        <v>22</v>
      </c>
      <c r="K15" s="6" t="s">
        <v>315</v>
      </c>
      <c r="L15" s="26" t="s">
        <v>316</v>
      </c>
      <c r="M15" s="6">
        <v>251900</v>
      </c>
      <c r="N15" s="6">
        <f>20*15*1.5*280+500*1*0.24*400</f>
        <v>174000</v>
      </c>
      <c r="O15" s="58">
        <f t="shared" si="0"/>
        <v>104400</v>
      </c>
      <c r="P15" s="37"/>
      <c r="Q15" s="37"/>
      <c r="R15" s="37"/>
      <c r="S15" s="5"/>
    </row>
    <row r="16" spans="1:19" s="18" customFormat="1" ht="22.5" customHeight="1">
      <c r="A16" s="6">
        <v>13</v>
      </c>
      <c r="B16" s="6" t="s">
        <v>317</v>
      </c>
      <c r="C16" s="6">
        <v>262</v>
      </c>
      <c r="D16" s="6">
        <v>697</v>
      </c>
      <c r="E16" s="6">
        <v>480</v>
      </c>
      <c r="F16" s="6">
        <v>7200</v>
      </c>
      <c r="G16" s="6"/>
      <c r="H16" s="6"/>
      <c r="I16" s="6"/>
      <c r="J16" s="6" t="s">
        <v>318</v>
      </c>
      <c r="K16" s="6" t="s">
        <v>319</v>
      </c>
      <c r="L16" s="26" t="s">
        <v>320</v>
      </c>
      <c r="M16" s="6">
        <f>0*351700+296900</f>
        <v>296900</v>
      </c>
      <c r="N16" s="6">
        <f>(425*0.37*2+50*0.24*1+160*0.24*1)*400+5000</f>
        <v>150960</v>
      </c>
      <c r="O16" s="58">
        <f t="shared" si="0"/>
        <v>90576</v>
      </c>
      <c r="P16" s="37"/>
      <c r="Q16" s="37"/>
      <c r="R16" s="37"/>
      <c r="S16" s="5"/>
    </row>
    <row r="17" spans="1:19" s="18" customFormat="1" ht="17.25" customHeight="1">
      <c r="A17" s="6">
        <v>14</v>
      </c>
      <c r="B17" s="6" t="s">
        <v>321</v>
      </c>
      <c r="C17" s="6">
        <v>228</v>
      </c>
      <c r="D17" s="6">
        <v>638</v>
      </c>
      <c r="E17" s="6">
        <v>306</v>
      </c>
      <c r="F17" s="6">
        <v>4590</v>
      </c>
      <c r="G17" s="6"/>
      <c r="H17" s="6"/>
      <c r="I17" s="6"/>
      <c r="J17" s="6" t="s">
        <v>322</v>
      </c>
      <c r="K17" s="6" t="s">
        <v>323</v>
      </c>
      <c r="L17" s="26" t="s">
        <v>324</v>
      </c>
      <c r="M17" s="6">
        <v>294000</v>
      </c>
      <c r="N17" s="6">
        <f>2000*1*0.24*400</f>
        <v>192000</v>
      </c>
      <c r="O17" s="58">
        <f t="shared" si="0"/>
        <v>115200</v>
      </c>
      <c r="P17" s="37"/>
      <c r="Q17" s="37"/>
      <c r="R17" s="37"/>
      <c r="S17" s="5"/>
    </row>
    <row r="18" spans="1:19" s="12" customFormat="1" ht="16.5" customHeight="1">
      <c r="A18" s="6">
        <v>15</v>
      </c>
      <c r="B18" s="69" t="s">
        <v>325</v>
      </c>
      <c r="C18" s="69">
        <v>226</v>
      </c>
      <c r="D18" s="69">
        <v>648</v>
      </c>
      <c r="E18" s="69">
        <v>452</v>
      </c>
      <c r="F18" s="56">
        <v>6780</v>
      </c>
      <c r="G18" s="56"/>
      <c r="H18" s="56"/>
      <c r="I18" s="69"/>
      <c r="J18" s="69" t="s">
        <v>22</v>
      </c>
      <c r="K18" s="27" t="s">
        <v>326</v>
      </c>
      <c r="L18" s="70" t="s">
        <v>327</v>
      </c>
      <c r="M18" s="27">
        <v>299700</v>
      </c>
      <c r="N18" s="27">
        <f>(1300*1+190*4+30*4)*0.24*400</f>
        <v>209279.99999999997</v>
      </c>
      <c r="O18" s="58">
        <f t="shared" si="0"/>
        <v>125567.99999999997</v>
      </c>
      <c r="P18" s="13"/>
      <c r="Q18" s="13"/>
      <c r="R18" s="13"/>
      <c r="S18" s="56"/>
    </row>
    <row r="19" spans="1:22" s="5" customFormat="1" ht="18" customHeight="1">
      <c r="A19" s="6">
        <v>16</v>
      </c>
      <c r="B19" s="6" t="s">
        <v>328</v>
      </c>
      <c r="C19" s="49">
        <v>197</v>
      </c>
      <c r="D19" s="49">
        <v>547</v>
      </c>
      <c r="E19" s="49">
        <v>400</v>
      </c>
      <c r="F19" s="6">
        <v>6000</v>
      </c>
      <c r="G19" s="6"/>
      <c r="H19" s="6"/>
      <c r="I19" s="6"/>
      <c r="J19" s="6" t="s">
        <v>329</v>
      </c>
      <c r="K19" s="43" t="s">
        <v>326</v>
      </c>
      <c r="L19" s="26" t="s">
        <v>330</v>
      </c>
      <c r="M19" s="6">
        <v>300000</v>
      </c>
      <c r="N19" s="6">
        <f>2500*3*13.3</f>
        <v>99750</v>
      </c>
      <c r="O19" s="58">
        <f t="shared" si="0"/>
        <v>59850</v>
      </c>
      <c r="P19" s="6"/>
      <c r="Q19" s="6"/>
      <c r="R19" s="25"/>
      <c r="T19" s="18"/>
      <c r="U19" s="18"/>
      <c r="V19" s="18"/>
    </row>
    <row r="20" spans="1:22" s="5" customFormat="1" ht="23.25" customHeight="1">
      <c r="A20" s="6">
        <v>16</v>
      </c>
      <c r="B20" s="6" t="s">
        <v>31</v>
      </c>
      <c r="C20" s="6">
        <f>SUM(C4:C19)</f>
        <v>3405</v>
      </c>
      <c r="D20" s="6">
        <f>SUM(D4:D19)</f>
        <v>9601</v>
      </c>
      <c r="E20" s="6">
        <f>SUM(E4:E19)</f>
        <v>6093</v>
      </c>
      <c r="F20" s="6">
        <f>SUM(F4:F19)</f>
        <v>91395</v>
      </c>
      <c r="G20" s="6">
        <f>SUM(G4:G19)</f>
        <v>24750</v>
      </c>
      <c r="H20" s="6"/>
      <c r="I20" s="6"/>
      <c r="J20" s="6"/>
      <c r="K20" s="6"/>
      <c r="L20" s="6"/>
      <c r="M20" s="6">
        <f>SUM(M4:M19)</f>
        <v>4471845</v>
      </c>
      <c r="N20" s="7">
        <f>SUM(N4:N19)</f>
        <v>2515024</v>
      </c>
      <c r="O20" s="58">
        <f>SUM(O4:O19)</f>
        <v>1509014.4</v>
      </c>
      <c r="P20" s="6"/>
      <c r="Q20" s="6"/>
      <c r="R20" s="25"/>
      <c r="T20" s="18"/>
      <c r="U20" s="18"/>
      <c r="V20" s="18"/>
    </row>
    <row r="21" spans="1:18" s="18" customFormat="1" ht="22.5" customHeight="1">
      <c r="A21" s="37"/>
      <c r="B21" s="23" t="s">
        <v>32</v>
      </c>
      <c r="C21" s="37"/>
      <c r="D21" s="37"/>
      <c r="E21" s="37"/>
      <c r="F21" s="37"/>
      <c r="G21" s="37"/>
      <c r="H21" s="37"/>
      <c r="I21" s="37"/>
      <c r="J21" s="37"/>
      <c r="K21" s="37"/>
      <c r="L21" s="50"/>
      <c r="M21" s="37"/>
      <c r="N21" s="37"/>
      <c r="O21" s="37"/>
      <c r="P21" s="37"/>
      <c r="Q21" s="37"/>
      <c r="R21" s="37"/>
    </row>
    <row r="22" spans="1:22" s="1" customFormat="1" ht="21.75" customHeight="1">
      <c r="A22" s="18"/>
      <c r="B22" s="24" t="s">
        <v>33</v>
      </c>
      <c r="C22" s="24"/>
      <c r="D22" s="24"/>
      <c r="E22" s="24"/>
      <c r="F22" s="24"/>
      <c r="G22" s="24"/>
      <c r="H22" s="24"/>
      <c r="I22" s="24"/>
      <c r="J22" s="3"/>
      <c r="K22" s="24"/>
      <c r="L22" s="19"/>
      <c r="M22" s="37"/>
      <c r="N22" s="37"/>
      <c r="O22" s="37"/>
      <c r="P22" s="3"/>
      <c r="T22" s="18"/>
      <c r="U22" s="18"/>
      <c r="V22" s="18"/>
    </row>
    <row r="23" spans="1:22" s="1" customFormat="1" ht="18" customHeight="1">
      <c r="A23" s="18"/>
      <c r="B23" s="24" t="s">
        <v>34</v>
      </c>
      <c r="C23" s="24"/>
      <c r="D23" s="24"/>
      <c r="E23" s="24"/>
      <c r="F23" s="24"/>
      <c r="G23" s="24"/>
      <c r="H23" s="24"/>
      <c r="I23" s="24"/>
      <c r="J23" s="3"/>
      <c r="K23" s="24"/>
      <c r="L23" s="19"/>
      <c r="M23" s="37"/>
      <c r="N23" s="37"/>
      <c r="O23" s="37"/>
      <c r="P23" s="3"/>
      <c r="T23" s="18"/>
      <c r="U23" s="18"/>
      <c r="V23" s="18"/>
    </row>
    <row r="24" spans="1:22" s="1" customFormat="1" ht="30" customHeight="1">
      <c r="A24" s="18"/>
      <c r="J24" s="3"/>
      <c r="K24" s="3"/>
      <c r="L24" s="19"/>
      <c r="M24" s="37"/>
      <c r="N24" s="37"/>
      <c r="O24" s="37"/>
      <c r="P24" s="3"/>
      <c r="T24" s="18"/>
      <c r="U24" s="18"/>
      <c r="V24" s="18"/>
    </row>
    <row r="25" spans="1:22" s="1" customFormat="1" ht="30" customHeight="1">
      <c r="A25" s="18"/>
      <c r="J25" s="3"/>
      <c r="K25" s="3"/>
      <c r="L25" s="19"/>
      <c r="P25" s="3"/>
      <c r="T25" s="18"/>
      <c r="U25" s="18"/>
      <c r="V25" s="18"/>
    </row>
    <row r="26" spans="1:16" s="1" customFormat="1" ht="30" customHeight="1">
      <c r="A26" s="18"/>
      <c r="J26" s="3"/>
      <c r="K26" s="3"/>
      <c r="L26" s="19"/>
      <c r="P26" s="3"/>
    </row>
    <row r="27" spans="1:16" s="1" customFormat="1" ht="30" customHeight="1">
      <c r="A27" s="18"/>
      <c r="J27" s="3"/>
      <c r="K27" s="3"/>
      <c r="L27" s="19"/>
      <c r="P27" s="3"/>
    </row>
    <row r="28" spans="1:16" s="1" customFormat="1" ht="30" customHeight="1">
      <c r="A28" s="18"/>
      <c r="J28" s="3"/>
      <c r="K28" s="3"/>
      <c r="L28" s="19"/>
      <c r="P28" s="3"/>
    </row>
    <row r="29" ht="30" customHeight="1">
      <c r="A29" s="18"/>
    </row>
    <row r="30" ht="30" customHeight="1">
      <c r="A30" s="18"/>
    </row>
    <row r="31" ht="30" customHeight="1">
      <c r="A31" s="18"/>
    </row>
    <row r="32" ht="30" customHeight="1">
      <c r="A32" s="18"/>
    </row>
    <row r="33" ht="30" customHeight="1">
      <c r="A33" s="18"/>
    </row>
    <row r="34" ht="30" customHeight="1">
      <c r="A34" s="1"/>
    </row>
    <row r="35" ht="30" customHeight="1">
      <c r="A35" s="1"/>
    </row>
    <row r="36" ht="30" customHeight="1">
      <c r="A36" s="1"/>
    </row>
    <row r="37" ht="30" customHeight="1">
      <c r="A37" s="1"/>
    </row>
    <row r="38" ht="30" customHeight="1">
      <c r="A38" s="1"/>
    </row>
    <row r="39" ht="30" customHeight="1">
      <c r="A39" s="1"/>
    </row>
    <row r="40" ht="30" customHeight="1">
      <c r="A40" s="1"/>
    </row>
    <row r="41" ht="30" customHeight="1">
      <c r="A41" s="1"/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</sheetData>
  <sheetProtection/>
  <mergeCells count="1">
    <mergeCell ref="A1:R1"/>
  </mergeCells>
  <printOptions/>
  <pageMargins left="0.3" right="0.17" top="0.43" bottom="0.27" header="0.5" footer="0.3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0"/>
  <sheetViews>
    <sheetView workbookViewId="0" topLeftCell="A1">
      <pane xSplit="2" ySplit="1" topLeftCell="K2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4.25"/>
  <cols>
    <col min="1" max="1" width="3.875" style="98" customWidth="1"/>
    <col min="2" max="2" width="10.125" style="2" customWidth="1"/>
    <col min="3" max="7" width="6.625" style="2" hidden="1" customWidth="1"/>
    <col min="8" max="8" width="7.625" style="2" hidden="1" customWidth="1"/>
    <col min="9" max="9" width="8.125" style="2" hidden="1" customWidth="1"/>
    <col min="10" max="10" width="1.625" style="3" hidden="1" customWidth="1"/>
    <col min="11" max="11" width="19.75390625" style="3" customWidth="1"/>
    <col min="12" max="12" width="50.50390625" style="19" customWidth="1"/>
    <col min="13" max="13" width="13.625" style="2" customWidth="1"/>
    <col min="14" max="14" width="10.375" style="2" customWidth="1"/>
    <col min="15" max="15" width="9.625" style="2" customWidth="1"/>
    <col min="16" max="16" width="9.00390625" style="3" hidden="1" customWidth="1"/>
    <col min="17" max="17" width="5.625" style="2" hidden="1" customWidth="1"/>
    <col min="18" max="18" width="6.375" style="2" hidden="1" customWidth="1"/>
    <col min="19" max="16384" width="9.00390625" style="2" customWidth="1"/>
  </cols>
  <sheetData>
    <row r="1" spans="1:18" ht="20.2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6" ht="14.25" customHeight="1">
      <c r="A2" s="98" t="s">
        <v>331</v>
      </c>
      <c r="P2" s="3" t="s">
        <v>3</v>
      </c>
    </row>
    <row r="3" spans="1:19" s="1" customFormat="1" ht="26.25" customHeight="1">
      <c r="A3" s="27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25" t="s">
        <v>19</v>
      </c>
      <c r="Q3" s="6" t="s">
        <v>20</v>
      </c>
      <c r="R3" s="6" t="s">
        <v>19</v>
      </c>
      <c r="S3" s="5" t="s">
        <v>516</v>
      </c>
    </row>
    <row r="4" spans="1:19" s="53" customFormat="1" ht="24.75" customHeight="1">
      <c r="A4" s="27">
        <v>1</v>
      </c>
      <c r="B4" s="27" t="s">
        <v>332</v>
      </c>
      <c r="C4" s="27">
        <v>331</v>
      </c>
      <c r="D4" s="27">
        <v>853</v>
      </c>
      <c r="E4" s="27">
        <v>680</v>
      </c>
      <c r="F4" s="27">
        <v>10200</v>
      </c>
      <c r="G4" s="27"/>
      <c r="H4" s="27"/>
      <c r="I4" s="27"/>
      <c r="J4" s="27" t="s">
        <v>333</v>
      </c>
      <c r="K4" s="27" t="s">
        <v>334</v>
      </c>
      <c r="L4" s="44" t="s">
        <v>335</v>
      </c>
      <c r="M4" s="27">
        <v>298963.32</v>
      </c>
      <c r="N4" s="27">
        <f>32*8*1350*0+298000*0+32*6.5*1350</f>
        <v>280800</v>
      </c>
      <c r="O4" s="54">
        <f>N4*0.6</f>
        <v>168480</v>
      </c>
      <c r="P4" s="90" t="s">
        <v>46</v>
      </c>
      <c r="Q4" s="56" t="s">
        <v>26</v>
      </c>
      <c r="R4" s="56" t="s">
        <v>25</v>
      </c>
      <c r="S4" s="89"/>
    </row>
    <row r="5" spans="1:19" s="14" customFormat="1" ht="13.5">
      <c r="A5" s="27">
        <v>2</v>
      </c>
      <c r="B5" s="6" t="s">
        <v>336</v>
      </c>
      <c r="C5" s="6">
        <v>245</v>
      </c>
      <c r="D5" s="6">
        <v>620</v>
      </c>
      <c r="E5" s="6">
        <v>485</v>
      </c>
      <c r="F5" s="6">
        <v>7275</v>
      </c>
      <c r="G5" s="6">
        <v>203</v>
      </c>
      <c r="H5" s="6">
        <v>12180</v>
      </c>
      <c r="I5" s="6"/>
      <c r="J5" s="6"/>
      <c r="K5" s="6" t="s">
        <v>337</v>
      </c>
      <c r="L5" s="26" t="s">
        <v>338</v>
      </c>
      <c r="M5" s="6">
        <v>298000</v>
      </c>
      <c r="N5" s="6">
        <f>100*1*0.24*460+800*2*50</f>
        <v>91040</v>
      </c>
      <c r="O5" s="54">
        <f aca="true" t="shared" si="0" ref="O5:O18">N5*0.6</f>
        <v>54624</v>
      </c>
      <c r="P5" s="29"/>
      <c r="Q5" s="5" t="s">
        <v>26</v>
      </c>
      <c r="R5" s="5" t="s">
        <v>27</v>
      </c>
      <c r="S5" s="59"/>
    </row>
    <row r="6" spans="1:19" s="82" customFormat="1" ht="25.5" customHeight="1">
      <c r="A6" s="27">
        <v>3</v>
      </c>
      <c r="B6" s="27" t="s">
        <v>339</v>
      </c>
      <c r="C6" s="27">
        <v>132</v>
      </c>
      <c r="D6" s="27">
        <v>382</v>
      </c>
      <c r="E6" s="27">
        <v>320</v>
      </c>
      <c r="F6" s="27">
        <v>4800</v>
      </c>
      <c r="G6" s="27"/>
      <c r="H6" s="27"/>
      <c r="I6" s="27"/>
      <c r="J6" s="27" t="s">
        <v>340</v>
      </c>
      <c r="K6" s="27" t="s">
        <v>341</v>
      </c>
      <c r="L6" s="44" t="s">
        <v>342</v>
      </c>
      <c r="M6" s="27">
        <v>299800</v>
      </c>
      <c r="N6" s="27">
        <f>21.5*8*1350+10000</f>
        <v>242200</v>
      </c>
      <c r="O6" s="54">
        <f t="shared" si="0"/>
        <v>145320</v>
      </c>
      <c r="P6" s="55"/>
      <c r="Q6" s="56" t="s">
        <v>26</v>
      </c>
      <c r="R6" s="56" t="s">
        <v>27</v>
      </c>
      <c r="S6" s="56"/>
    </row>
    <row r="7" spans="1:19" s="14" customFormat="1" ht="21.75" customHeight="1">
      <c r="A7" s="27">
        <v>4</v>
      </c>
      <c r="B7" s="6" t="s">
        <v>343</v>
      </c>
      <c r="C7" s="6">
        <v>142</v>
      </c>
      <c r="D7" s="6">
        <v>309</v>
      </c>
      <c r="E7" s="6">
        <v>309</v>
      </c>
      <c r="F7" s="6">
        <v>4635</v>
      </c>
      <c r="G7" s="6"/>
      <c r="H7" s="6"/>
      <c r="I7" s="6"/>
      <c r="J7" s="6" t="s">
        <v>22</v>
      </c>
      <c r="K7" s="6" t="s">
        <v>344</v>
      </c>
      <c r="L7" s="26" t="s">
        <v>345</v>
      </c>
      <c r="M7" s="6">
        <v>299560</v>
      </c>
      <c r="N7" s="6">
        <f>1800*3*0+650*18*0+2300*2.5*50</f>
        <v>287500</v>
      </c>
      <c r="O7" s="54">
        <f t="shared" si="0"/>
        <v>172500</v>
      </c>
      <c r="P7" s="29"/>
      <c r="Q7" s="5" t="s">
        <v>26</v>
      </c>
      <c r="R7" s="5" t="s">
        <v>27</v>
      </c>
      <c r="S7" s="59"/>
    </row>
    <row r="8" spans="1:19" s="14" customFormat="1" ht="22.5" customHeight="1">
      <c r="A8" s="27">
        <v>5</v>
      </c>
      <c r="B8" s="6" t="s">
        <v>346</v>
      </c>
      <c r="C8" s="6">
        <v>237</v>
      </c>
      <c r="D8" s="6">
        <v>600</v>
      </c>
      <c r="E8" s="6">
        <v>540</v>
      </c>
      <c r="F8" s="6">
        <v>8100</v>
      </c>
      <c r="G8" s="6">
        <v>8</v>
      </c>
      <c r="H8" s="6">
        <v>8000</v>
      </c>
      <c r="I8" s="6"/>
      <c r="J8" s="6" t="s">
        <v>347</v>
      </c>
      <c r="K8" s="6" t="s">
        <v>344</v>
      </c>
      <c r="L8" s="26" t="s">
        <v>348</v>
      </c>
      <c r="M8" s="6">
        <v>230200</v>
      </c>
      <c r="N8" s="6">
        <f>1000*2.5*50</f>
        <v>125000</v>
      </c>
      <c r="O8" s="54">
        <f t="shared" si="0"/>
        <v>75000</v>
      </c>
      <c r="P8" s="29"/>
      <c r="Q8" s="5" t="s">
        <v>26</v>
      </c>
      <c r="R8" s="5" t="s">
        <v>27</v>
      </c>
      <c r="S8" s="59"/>
    </row>
    <row r="9" spans="1:19" s="14" customFormat="1" ht="16.5" customHeight="1">
      <c r="A9" s="27">
        <v>6</v>
      </c>
      <c r="B9" s="6" t="s">
        <v>349</v>
      </c>
      <c r="C9" s="6">
        <v>160</v>
      </c>
      <c r="D9" s="6">
        <v>385</v>
      </c>
      <c r="E9" s="6">
        <v>310</v>
      </c>
      <c r="F9" s="6">
        <v>4650</v>
      </c>
      <c r="G9" s="6"/>
      <c r="H9" s="6"/>
      <c r="I9" s="6"/>
      <c r="J9" s="6" t="s">
        <v>22</v>
      </c>
      <c r="K9" s="6" t="s">
        <v>350</v>
      </c>
      <c r="L9" s="26" t="s">
        <v>351</v>
      </c>
      <c r="M9" s="6">
        <v>125000</v>
      </c>
      <c r="N9" s="6">
        <f>1000*(1+0.3*2)*0.1*390</f>
        <v>62400</v>
      </c>
      <c r="O9" s="54">
        <f t="shared" si="0"/>
        <v>37440</v>
      </c>
      <c r="P9" s="29"/>
      <c r="Q9" s="5" t="s">
        <v>26</v>
      </c>
      <c r="R9" s="5" t="s">
        <v>27</v>
      </c>
      <c r="S9" s="59"/>
    </row>
    <row r="10" spans="1:19" s="14" customFormat="1" ht="19.5" customHeight="1">
      <c r="A10" s="27">
        <v>7</v>
      </c>
      <c r="B10" s="6" t="s">
        <v>352</v>
      </c>
      <c r="C10" s="6">
        <v>92</v>
      </c>
      <c r="D10" s="6">
        <v>274</v>
      </c>
      <c r="E10" s="6">
        <v>240</v>
      </c>
      <c r="F10" s="6">
        <v>3600</v>
      </c>
      <c r="G10" s="6"/>
      <c r="H10" s="6"/>
      <c r="I10" s="6"/>
      <c r="J10" s="6" t="s">
        <v>22</v>
      </c>
      <c r="K10" s="6" t="s">
        <v>353</v>
      </c>
      <c r="L10" s="47" t="s">
        <v>354</v>
      </c>
      <c r="M10" s="6">
        <v>154306</v>
      </c>
      <c r="N10" s="6">
        <f>570*3*50+1500*40</f>
        <v>145500</v>
      </c>
      <c r="O10" s="54">
        <f t="shared" si="0"/>
        <v>87300</v>
      </c>
      <c r="P10" s="29"/>
      <c r="Q10" s="5" t="s">
        <v>26</v>
      </c>
      <c r="R10" s="5" t="s">
        <v>27</v>
      </c>
      <c r="S10" s="22"/>
    </row>
    <row r="11" spans="1:19" s="14" customFormat="1" ht="27">
      <c r="A11" s="27">
        <v>8</v>
      </c>
      <c r="B11" s="6" t="s">
        <v>355</v>
      </c>
      <c r="C11" s="6">
        <v>132</v>
      </c>
      <c r="D11" s="6">
        <v>348</v>
      </c>
      <c r="E11" s="6">
        <v>285</v>
      </c>
      <c r="F11" s="6">
        <v>4275</v>
      </c>
      <c r="G11" s="6"/>
      <c r="H11" s="6"/>
      <c r="I11" s="6"/>
      <c r="J11" s="6" t="s">
        <v>22</v>
      </c>
      <c r="K11" s="6" t="s">
        <v>344</v>
      </c>
      <c r="L11" s="26" t="s">
        <v>356</v>
      </c>
      <c r="M11" s="6">
        <v>155000</v>
      </c>
      <c r="N11" s="6">
        <f>(40*2.5+880*2.5+90*2.5)*50</f>
        <v>126250</v>
      </c>
      <c r="O11" s="54">
        <f t="shared" si="0"/>
        <v>75750</v>
      </c>
      <c r="P11" s="29"/>
      <c r="Q11" s="5" t="s">
        <v>26</v>
      </c>
      <c r="R11" s="5" t="s">
        <v>27</v>
      </c>
      <c r="S11" s="59"/>
    </row>
    <row r="12" spans="1:19" s="14" customFormat="1" ht="13.5">
      <c r="A12" s="27">
        <v>9</v>
      </c>
      <c r="B12" s="6" t="s">
        <v>357</v>
      </c>
      <c r="C12" s="6">
        <v>95</v>
      </c>
      <c r="D12" s="6">
        <v>258</v>
      </c>
      <c r="E12" s="6">
        <v>250</v>
      </c>
      <c r="F12" s="6">
        <v>3750</v>
      </c>
      <c r="G12" s="6"/>
      <c r="H12" s="6"/>
      <c r="I12" s="6"/>
      <c r="J12" s="6"/>
      <c r="K12" s="6" t="s">
        <v>344</v>
      </c>
      <c r="L12" s="26" t="s">
        <v>358</v>
      </c>
      <c r="M12" s="6">
        <v>299050</v>
      </c>
      <c r="N12" s="6">
        <f>1100*2.2*50</f>
        <v>121000</v>
      </c>
      <c r="O12" s="54">
        <f t="shared" si="0"/>
        <v>72600</v>
      </c>
      <c r="P12" s="29"/>
      <c r="Q12" s="5" t="s">
        <v>26</v>
      </c>
      <c r="R12" s="5" t="s">
        <v>27</v>
      </c>
      <c r="S12" s="59"/>
    </row>
    <row r="13" spans="1:19" s="14" customFormat="1" ht="27">
      <c r="A13" s="27">
        <v>10</v>
      </c>
      <c r="B13" s="6" t="s">
        <v>359</v>
      </c>
      <c r="C13" s="6">
        <v>137</v>
      </c>
      <c r="D13" s="6">
        <v>340</v>
      </c>
      <c r="E13" s="6">
        <v>200</v>
      </c>
      <c r="F13" s="6">
        <v>3000</v>
      </c>
      <c r="G13" s="6"/>
      <c r="H13" s="6"/>
      <c r="I13" s="6"/>
      <c r="J13" s="6" t="s">
        <v>22</v>
      </c>
      <c r="K13" s="6" t="s">
        <v>360</v>
      </c>
      <c r="L13" s="26" t="s">
        <v>361</v>
      </c>
      <c r="M13" s="6">
        <v>299640</v>
      </c>
      <c r="N13" s="6">
        <f>(700*3+900*2.5*0)*50</f>
        <v>105000</v>
      </c>
      <c r="O13" s="54">
        <f t="shared" si="0"/>
        <v>63000</v>
      </c>
      <c r="P13" s="29"/>
      <c r="Q13" s="5" t="s">
        <v>26</v>
      </c>
      <c r="R13" s="5" t="s">
        <v>27</v>
      </c>
      <c r="S13" s="59"/>
    </row>
    <row r="14" spans="1:19" s="14" customFormat="1" ht="23.25" customHeight="1">
      <c r="A14" s="27">
        <v>11</v>
      </c>
      <c r="B14" s="6" t="s">
        <v>362</v>
      </c>
      <c r="C14" s="6">
        <v>103</v>
      </c>
      <c r="D14" s="6">
        <v>258</v>
      </c>
      <c r="E14" s="6">
        <v>80</v>
      </c>
      <c r="F14" s="6">
        <v>10000</v>
      </c>
      <c r="G14" s="6"/>
      <c r="H14" s="6"/>
      <c r="I14" s="6"/>
      <c r="J14" s="6" t="s">
        <v>363</v>
      </c>
      <c r="K14" s="6" t="s">
        <v>344</v>
      </c>
      <c r="L14" s="26" t="s">
        <v>364</v>
      </c>
      <c r="M14" s="6">
        <v>176305</v>
      </c>
      <c r="N14" s="6">
        <f>777*3*60</f>
        <v>139860</v>
      </c>
      <c r="O14" s="54">
        <f t="shared" si="0"/>
        <v>83916</v>
      </c>
      <c r="P14" s="29"/>
      <c r="Q14" s="5" t="s">
        <v>26</v>
      </c>
      <c r="R14" s="5" t="s">
        <v>27</v>
      </c>
      <c r="S14" s="59"/>
    </row>
    <row r="15" spans="1:19" s="14" customFormat="1" ht="27">
      <c r="A15" s="27">
        <v>12</v>
      </c>
      <c r="B15" s="6" t="s">
        <v>365</v>
      </c>
      <c r="C15" s="6">
        <v>158</v>
      </c>
      <c r="D15" s="6">
        <v>400</v>
      </c>
      <c r="E15" s="6">
        <v>400</v>
      </c>
      <c r="F15" s="6">
        <v>6000</v>
      </c>
      <c r="G15" s="6">
        <v>120</v>
      </c>
      <c r="H15" s="6">
        <v>10800</v>
      </c>
      <c r="I15" s="6"/>
      <c r="J15" s="6" t="s">
        <v>22</v>
      </c>
      <c r="K15" s="6" t="s">
        <v>366</v>
      </c>
      <c r="L15" s="26" t="s">
        <v>367</v>
      </c>
      <c r="M15" s="6">
        <v>258150</v>
      </c>
      <c r="N15" s="6">
        <f>1200*30+13800*5+12*300</f>
        <v>108600</v>
      </c>
      <c r="O15" s="54">
        <f t="shared" si="0"/>
        <v>65160</v>
      </c>
      <c r="P15" s="29"/>
      <c r="Q15" s="5"/>
      <c r="R15" s="5"/>
      <c r="S15" s="59"/>
    </row>
    <row r="16" spans="1:19" s="14" customFormat="1" ht="13.5">
      <c r="A16" s="27">
        <v>13</v>
      </c>
      <c r="B16" s="6" t="s">
        <v>368</v>
      </c>
      <c r="C16" s="6">
        <v>79</v>
      </c>
      <c r="D16" s="6">
        <v>161</v>
      </c>
      <c r="E16" s="6">
        <v>140</v>
      </c>
      <c r="F16" s="6">
        <v>2100</v>
      </c>
      <c r="G16" s="6"/>
      <c r="H16" s="6"/>
      <c r="I16" s="6"/>
      <c r="J16" s="6"/>
      <c r="K16" s="6" t="s">
        <v>369</v>
      </c>
      <c r="L16" s="26" t="s">
        <v>370</v>
      </c>
      <c r="M16" s="6">
        <f>192900</f>
        <v>192900</v>
      </c>
      <c r="N16" s="6">
        <f>4860*5+2620*20</f>
        <v>76700</v>
      </c>
      <c r="O16" s="54">
        <f t="shared" si="0"/>
        <v>46020</v>
      </c>
      <c r="P16" s="29"/>
      <c r="Q16" s="5"/>
      <c r="R16" s="5"/>
      <c r="S16" s="59"/>
    </row>
    <row r="17" spans="1:19" s="82" customFormat="1" ht="21" customHeight="1">
      <c r="A17" s="27">
        <v>14</v>
      </c>
      <c r="B17" s="27" t="s">
        <v>372</v>
      </c>
      <c r="C17" s="27">
        <v>168</v>
      </c>
      <c r="D17" s="27">
        <v>430</v>
      </c>
      <c r="E17" s="27">
        <v>350</v>
      </c>
      <c r="F17" s="27">
        <v>5250</v>
      </c>
      <c r="G17" s="27"/>
      <c r="H17" s="27"/>
      <c r="I17" s="27"/>
      <c r="J17" s="27" t="s">
        <v>373</v>
      </c>
      <c r="K17" s="27" t="s">
        <v>371</v>
      </c>
      <c r="L17" s="44" t="s">
        <v>374</v>
      </c>
      <c r="M17" s="27">
        <v>300000</v>
      </c>
      <c r="N17" s="27">
        <v>200000</v>
      </c>
      <c r="O17" s="54">
        <f t="shared" si="0"/>
        <v>120000</v>
      </c>
      <c r="P17" s="55"/>
      <c r="Q17" s="56"/>
      <c r="R17" s="56"/>
      <c r="S17" s="56"/>
    </row>
    <row r="18" spans="1:19" s="82" customFormat="1" ht="29.25" customHeight="1">
      <c r="A18" s="27">
        <v>15</v>
      </c>
      <c r="B18" s="27" t="s">
        <v>375</v>
      </c>
      <c r="C18" s="27">
        <v>560</v>
      </c>
      <c r="D18" s="27">
        <v>1500</v>
      </c>
      <c r="E18" s="27">
        <v>1500</v>
      </c>
      <c r="F18" s="27">
        <v>22500</v>
      </c>
      <c r="G18" s="27"/>
      <c r="H18" s="27"/>
      <c r="I18" s="27"/>
      <c r="J18" s="27" t="s">
        <v>376</v>
      </c>
      <c r="K18" s="27" t="s">
        <v>377</v>
      </c>
      <c r="L18" s="44" t="s">
        <v>378</v>
      </c>
      <c r="M18" s="27">
        <v>276000</v>
      </c>
      <c r="N18" s="27">
        <f>(5200*(10+0.4*50)+4000*(10+0.4*50))</f>
        <v>276000</v>
      </c>
      <c r="O18" s="54">
        <f t="shared" si="0"/>
        <v>165600</v>
      </c>
      <c r="P18" s="55"/>
      <c r="Q18" s="56"/>
      <c r="R18" s="56"/>
      <c r="S18" s="56"/>
    </row>
    <row r="19" spans="1:19" s="17" customFormat="1" ht="24" customHeight="1">
      <c r="A19" s="27">
        <v>15</v>
      </c>
      <c r="B19" s="6" t="s">
        <v>31</v>
      </c>
      <c r="C19" s="6">
        <f aca="true" t="shared" si="1" ref="C19:J19">SUM(C4:C18)</f>
        <v>2771</v>
      </c>
      <c r="D19" s="6">
        <f t="shared" si="1"/>
        <v>7118</v>
      </c>
      <c r="E19" s="6">
        <f t="shared" si="1"/>
        <v>6089</v>
      </c>
      <c r="F19" s="6">
        <f t="shared" si="1"/>
        <v>100135</v>
      </c>
      <c r="G19" s="6">
        <f t="shared" si="1"/>
        <v>331</v>
      </c>
      <c r="H19" s="6">
        <f t="shared" si="1"/>
        <v>30980</v>
      </c>
      <c r="I19" s="6">
        <f t="shared" si="1"/>
        <v>0</v>
      </c>
      <c r="J19" s="6">
        <f t="shared" si="1"/>
        <v>0</v>
      </c>
      <c r="K19" s="6" t="s">
        <v>379</v>
      </c>
      <c r="L19" s="6" t="s">
        <v>379</v>
      </c>
      <c r="M19" s="7">
        <f>SUM(M4:M18)</f>
        <v>3662874.3200000003</v>
      </c>
      <c r="N19" s="6">
        <f>SUM(N4:N18)</f>
        <v>2387850</v>
      </c>
      <c r="O19" s="6">
        <f>SUM(O4:O18)</f>
        <v>1432710</v>
      </c>
      <c r="P19" s="6">
        <f>SUM(P4:P14)</f>
        <v>0</v>
      </c>
      <c r="Q19" s="6">
        <f>SUM(Q4:Q14)</f>
        <v>0</v>
      </c>
      <c r="R19" s="6">
        <f>SUM(R4:R14)</f>
        <v>0</v>
      </c>
      <c r="S19" s="5"/>
    </row>
    <row r="20" spans="1:16" s="18" customFormat="1" ht="15" customHeight="1">
      <c r="A20" s="12"/>
      <c r="B20" s="23" t="s">
        <v>32</v>
      </c>
      <c r="C20" s="23"/>
      <c r="D20" s="23"/>
      <c r="E20" s="23"/>
      <c r="F20" s="23"/>
      <c r="G20" s="23"/>
      <c r="H20" s="23"/>
      <c r="I20" s="23"/>
      <c r="J20" s="37"/>
      <c r="K20" s="23"/>
      <c r="L20" s="38"/>
      <c r="P20" s="37"/>
    </row>
    <row r="21" spans="1:16" s="1" customFormat="1" ht="15" customHeight="1">
      <c r="A21" s="12"/>
      <c r="B21" s="24" t="s">
        <v>33</v>
      </c>
      <c r="C21" s="24"/>
      <c r="D21" s="24"/>
      <c r="E21" s="24"/>
      <c r="F21" s="24"/>
      <c r="G21" s="24"/>
      <c r="H21" s="24"/>
      <c r="I21" s="24"/>
      <c r="J21" s="3"/>
      <c r="K21" s="24"/>
      <c r="L21" s="19"/>
      <c r="P21" s="3"/>
    </row>
    <row r="22" spans="1:16" s="1" customFormat="1" ht="15" customHeight="1">
      <c r="A22" s="12"/>
      <c r="B22" s="24" t="s">
        <v>34</v>
      </c>
      <c r="C22" s="24"/>
      <c r="D22" s="24"/>
      <c r="E22" s="24"/>
      <c r="F22" s="24"/>
      <c r="G22" s="24"/>
      <c r="H22" s="24"/>
      <c r="I22" s="24"/>
      <c r="J22" s="3"/>
      <c r="K22" s="24"/>
      <c r="L22" s="19"/>
      <c r="P22" s="3"/>
    </row>
    <row r="23" spans="1:16" s="1" customFormat="1" ht="30" customHeight="1">
      <c r="A23" s="12"/>
      <c r="J23" s="3"/>
      <c r="K23" s="3"/>
      <c r="L23" s="19"/>
      <c r="P23" s="3"/>
    </row>
    <row r="24" spans="1:16" s="1" customFormat="1" ht="30" customHeight="1">
      <c r="A24" s="12"/>
      <c r="J24" s="3"/>
      <c r="K24" s="3"/>
      <c r="L24" s="19"/>
      <c r="P24" s="3"/>
    </row>
    <row r="25" spans="1:16" s="1" customFormat="1" ht="30" customHeight="1">
      <c r="A25" s="12"/>
      <c r="J25" s="3"/>
      <c r="K25" s="3"/>
      <c r="L25" s="19"/>
      <c r="P25" s="3"/>
    </row>
    <row r="26" spans="1:16" s="1" customFormat="1" ht="30" customHeight="1">
      <c r="A26" s="12"/>
      <c r="J26" s="3"/>
      <c r="K26" s="3"/>
      <c r="L26" s="19"/>
      <c r="P26" s="3"/>
    </row>
    <row r="27" spans="1:16" s="1" customFormat="1" ht="30" customHeight="1">
      <c r="A27" s="12"/>
      <c r="J27" s="3"/>
      <c r="K27" s="3"/>
      <c r="L27" s="19"/>
      <c r="P27" s="3"/>
    </row>
    <row r="28" ht="30" customHeight="1">
      <c r="A28" s="12"/>
    </row>
    <row r="29" ht="30" customHeight="1">
      <c r="A29" s="12"/>
    </row>
    <row r="30" ht="30" customHeight="1">
      <c r="A30" s="12"/>
    </row>
    <row r="31" ht="30" customHeight="1">
      <c r="A31" s="12"/>
    </row>
    <row r="32" ht="30" customHeight="1">
      <c r="A32" s="12"/>
    </row>
    <row r="33" ht="30" customHeight="1">
      <c r="A33" s="82"/>
    </row>
    <row r="34" ht="30" customHeight="1">
      <c r="A34" s="82"/>
    </row>
    <row r="35" ht="30" customHeight="1">
      <c r="A35" s="82"/>
    </row>
    <row r="36" ht="30" customHeight="1">
      <c r="A36" s="82"/>
    </row>
    <row r="37" ht="30" customHeight="1">
      <c r="A37" s="82"/>
    </row>
    <row r="38" ht="30" customHeight="1">
      <c r="A38" s="82"/>
    </row>
    <row r="39" ht="30" customHeight="1">
      <c r="A39" s="82"/>
    </row>
    <row r="40" ht="30" customHeight="1">
      <c r="A40" s="82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</sheetData>
  <sheetProtection/>
  <mergeCells count="1">
    <mergeCell ref="A1:R1"/>
  </mergeCells>
  <printOptions/>
  <pageMargins left="0.52" right="0.17" top="0.43" bottom="0.27" header="0.5" footer="0.3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V42"/>
  <sheetViews>
    <sheetView workbookViewId="0" topLeftCell="A1">
      <pane xSplit="2" ySplit="1" topLeftCell="J8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4.25"/>
  <cols>
    <col min="1" max="1" width="3.875" style="2" customWidth="1"/>
    <col min="2" max="2" width="6.625" style="2" customWidth="1"/>
    <col min="3" max="7" width="6.625" style="2" hidden="1" customWidth="1"/>
    <col min="8" max="8" width="7.625" style="2" hidden="1" customWidth="1"/>
    <col min="9" max="9" width="8.125" style="2" hidden="1" customWidth="1"/>
    <col min="10" max="10" width="13.75390625" style="3" customWidth="1"/>
    <col min="11" max="11" width="16.00390625" style="3" customWidth="1"/>
    <col min="12" max="12" width="48.375" style="19" customWidth="1"/>
    <col min="13" max="13" width="12.50390625" style="2" customWidth="1"/>
    <col min="14" max="14" width="11.625" style="2" customWidth="1"/>
    <col min="15" max="15" width="9.625" style="2" customWidth="1"/>
    <col min="16" max="16" width="9.00390625" style="3" hidden="1" customWidth="1"/>
    <col min="17" max="17" width="5.625" style="2" hidden="1" customWidth="1"/>
    <col min="18" max="18" width="6.375" style="2" hidden="1" customWidth="1"/>
    <col min="19" max="19" width="7.50390625" style="2" customWidth="1"/>
    <col min="20" max="16384" width="9.00390625" style="2" customWidth="1"/>
  </cols>
  <sheetData>
    <row r="1" spans="1:18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6" ht="13.5">
      <c r="A2" s="2" t="s">
        <v>380</v>
      </c>
      <c r="P2" s="3" t="s">
        <v>3</v>
      </c>
    </row>
    <row r="3" spans="1:19" s="1" customFormat="1" ht="25.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25" t="s">
        <v>19</v>
      </c>
      <c r="Q3" s="6" t="s">
        <v>20</v>
      </c>
      <c r="R3" s="25" t="s">
        <v>19</v>
      </c>
      <c r="S3" s="5" t="s">
        <v>521</v>
      </c>
    </row>
    <row r="4" spans="1:22" s="15" customFormat="1" ht="15.75" customHeight="1">
      <c r="A4" s="27">
        <v>1</v>
      </c>
      <c r="B4" s="27" t="s">
        <v>381</v>
      </c>
      <c r="C4" s="27">
        <v>300</v>
      </c>
      <c r="D4" s="27">
        <v>1180</v>
      </c>
      <c r="E4" s="27">
        <v>1100</v>
      </c>
      <c r="F4" s="27">
        <v>16500</v>
      </c>
      <c r="G4" s="27"/>
      <c r="H4" s="27"/>
      <c r="I4" s="27"/>
      <c r="J4" s="27" t="s">
        <v>37</v>
      </c>
      <c r="K4" s="27" t="s">
        <v>382</v>
      </c>
      <c r="L4" s="44" t="s">
        <v>383</v>
      </c>
      <c r="M4" s="27">
        <f>340000*0+296000</f>
        <v>296000</v>
      </c>
      <c r="N4" s="27">
        <f>900*5.9*50</f>
        <v>265500</v>
      </c>
      <c r="O4" s="94">
        <f>N4*0.6</f>
        <v>159300</v>
      </c>
      <c r="P4" s="27"/>
      <c r="Q4" s="27"/>
      <c r="R4" s="101"/>
      <c r="S4" s="27"/>
      <c r="T4" s="45"/>
      <c r="U4" s="45"/>
      <c r="V4" s="45"/>
    </row>
    <row r="5" spans="1:19" s="14" customFormat="1" ht="23.25" customHeight="1">
      <c r="A5" s="27">
        <v>2</v>
      </c>
      <c r="B5" s="27" t="s">
        <v>384</v>
      </c>
      <c r="C5" s="27">
        <v>123</v>
      </c>
      <c r="D5" s="27">
        <v>324</v>
      </c>
      <c r="E5" s="27">
        <v>260</v>
      </c>
      <c r="F5" s="27">
        <v>3900</v>
      </c>
      <c r="G5" s="27"/>
      <c r="H5" s="27"/>
      <c r="I5" s="27"/>
      <c r="J5" s="27" t="s">
        <v>385</v>
      </c>
      <c r="K5" s="27" t="s">
        <v>344</v>
      </c>
      <c r="L5" s="44" t="s">
        <v>386</v>
      </c>
      <c r="M5" s="27">
        <v>277000</v>
      </c>
      <c r="N5" s="27">
        <f>800*2.5*50+8*500</f>
        <v>104000</v>
      </c>
      <c r="O5" s="94">
        <f aca="true" t="shared" si="0" ref="O5:O20">N5*0.6</f>
        <v>62400</v>
      </c>
      <c r="P5" s="55"/>
      <c r="Q5" s="56" t="s">
        <v>26</v>
      </c>
      <c r="R5" s="93" t="s">
        <v>27</v>
      </c>
      <c r="S5" s="56"/>
    </row>
    <row r="6" spans="1:19" s="14" customFormat="1" ht="18.75" customHeight="1">
      <c r="A6" s="27">
        <v>3</v>
      </c>
      <c r="B6" s="27" t="s">
        <v>387</v>
      </c>
      <c r="C6" s="27">
        <v>182</v>
      </c>
      <c r="D6" s="27">
        <v>654</v>
      </c>
      <c r="E6" s="27">
        <v>442</v>
      </c>
      <c r="F6" s="27">
        <v>6630</v>
      </c>
      <c r="G6" s="27"/>
      <c r="H6" s="27"/>
      <c r="I6" s="27"/>
      <c r="J6" s="27" t="s">
        <v>212</v>
      </c>
      <c r="K6" s="27" t="s">
        <v>388</v>
      </c>
      <c r="L6" s="44" t="s">
        <v>389</v>
      </c>
      <c r="M6" s="27">
        <f>336840*0+297500</f>
        <v>297500</v>
      </c>
      <c r="N6" s="27">
        <f>166.6*1350</f>
        <v>224910</v>
      </c>
      <c r="O6" s="94">
        <f t="shared" si="0"/>
        <v>134946</v>
      </c>
      <c r="P6" s="55"/>
      <c r="Q6" s="56" t="s">
        <v>26</v>
      </c>
      <c r="R6" s="93" t="s">
        <v>27</v>
      </c>
      <c r="S6" s="56"/>
    </row>
    <row r="7" spans="1:19" s="14" customFormat="1" ht="22.5" customHeight="1">
      <c r="A7" s="27">
        <v>4</v>
      </c>
      <c r="B7" s="27" t="s">
        <v>390</v>
      </c>
      <c r="C7" s="27">
        <v>345</v>
      </c>
      <c r="D7" s="27">
        <v>950</v>
      </c>
      <c r="E7" s="27">
        <v>930</v>
      </c>
      <c r="F7" s="27">
        <v>200000</v>
      </c>
      <c r="G7" s="27"/>
      <c r="H7" s="27"/>
      <c r="I7" s="27"/>
      <c r="J7" s="27" t="s">
        <v>22</v>
      </c>
      <c r="K7" s="27" t="s">
        <v>388</v>
      </c>
      <c r="L7" s="44" t="s">
        <v>391</v>
      </c>
      <c r="M7" s="27">
        <v>300000</v>
      </c>
      <c r="N7" s="27">
        <f>60*2000+30000+50*120+120*60</f>
        <v>163200</v>
      </c>
      <c r="O7" s="94">
        <f t="shared" si="0"/>
        <v>97920</v>
      </c>
      <c r="P7" s="55"/>
      <c r="Q7" s="56" t="s">
        <v>26</v>
      </c>
      <c r="R7" s="93" t="s">
        <v>27</v>
      </c>
      <c r="S7" s="56"/>
    </row>
    <row r="8" spans="1:19" s="14" customFormat="1" ht="24">
      <c r="A8" s="27">
        <v>5</v>
      </c>
      <c r="B8" s="27" t="s">
        <v>392</v>
      </c>
      <c r="C8" s="27">
        <v>340</v>
      </c>
      <c r="D8" s="27">
        <v>1035</v>
      </c>
      <c r="E8" s="27">
        <v>1023</v>
      </c>
      <c r="F8" s="27">
        <v>15343</v>
      </c>
      <c r="G8" s="27"/>
      <c r="H8" s="27"/>
      <c r="I8" s="27"/>
      <c r="J8" s="27" t="s">
        <v>22</v>
      </c>
      <c r="K8" s="27" t="s">
        <v>393</v>
      </c>
      <c r="L8" s="44" t="s">
        <v>394</v>
      </c>
      <c r="M8" s="27">
        <v>299850</v>
      </c>
      <c r="N8" s="27">
        <f>300*23+1150*10+1450*(5+10+0.8*50)</f>
        <v>98150</v>
      </c>
      <c r="O8" s="94">
        <f t="shared" si="0"/>
        <v>58890</v>
      </c>
      <c r="P8" s="55"/>
      <c r="Q8" s="56" t="s">
        <v>26</v>
      </c>
      <c r="R8" s="93" t="s">
        <v>27</v>
      </c>
      <c r="S8" s="56"/>
    </row>
    <row r="9" spans="1:19" s="14" customFormat="1" ht="24.75" customHeight="1">
      <c r="A9" s="27">
        <v>6</v>
      </c>
      <c r="B9" s="27" t="s">
        <v>395</v>
      </c>
      <c r="C9" s="27">
        <v>303</v>
      </c>
      <c r="D9" s="27">
        <v>1100</v>
      </c>
      <c r="E9" s="27">
        <v>1000</v>
      </c>
      <c r="F9" s="27">
        <v>15000</v>
      </c>
      <c r="G9" s="27"/>
      <c r="H9" s="27"/>
      <c r="I9" s="27"/>
      <c r="J9" s="27" t="s">
        <v>396</v>
      </c>
      <c r="K9" s="27" t="s">
        <v>397</v>
      </c>
      <c r="L9" s="44" t="s">
        <v>398</v>
      </c>
      <c r="M9" s="27">
        <v>184600</v>
      </c>
      <c r="N9" s="27">
        <f>3000*3.5*10</f>
        <v>105000</v>
      </c>
      <c r="O9" s="94">
        <f t="shared" si="0"/>
        <v>63000</v>
      </c>
      <c r="P9" s="55"/>
      <c r="Q9" s="56" t="s">
        <v>26</v>
      </c>
      <c r="R9" s="93" t="s">
        <v>27</v>
      </c>
      <c r="S9" s="56"/>
    </row>
    <row r="10" spans="1:19" s="16" customFormat="1" ht="36" customHeight="1">
      <c r="A10" s="27">
        <v>7</v>
      </c>
      <c r="B10" s="27" t="s">
        <v>399</v>
      </c>
      <c r="C10" s="27">
        <v>360</v>
      </c>
      <c r="D10" s="27">
        <v>1100</v>
      </c>
      <c r="E10" s="27">
        <v>600</v>
      </c>
      <c r="F10" s="27">
        <v>9000</v>
      </c>
      <c r="G10" s="27"/>
      <c r="H10" s="27"/>
      <c r="I10" s="27"/>
      <c r="J10" s="27" t="s">
        <v>22</v>
      </c>
      <c r="K10" s="27" t="s">
        <v>400</v>
      </c>
      <c r="L10" s="44" t="s">
        <v>401</v>
      </c>
      <c r="M10" s="27">
        <v>140060</v>
      </c>
      <c r="N10" s="54">
        <f>(12*3.5*1+7*0.8*2.5)*280+2000+12*355+5000+40*60+(1000*2.5+850*2.5)*13.3</f>
        <v>90852.5</v>
      </c>
      <c r="O10" s="94">
        <f t="shared" si="0"/>
        <v>54511.5</v>
      </c>
      <c r="P10" s="55"/>
      <c r="Q10" s="56" t="s">
        <v>26</v>
      </c>
      <c r="R10" s="93" t="s">
        <v>25</v>
      </c>
      <c r="S10" s="56"/>
    </row>
    <row r="11" spans="1:19" s="15" customFormat="1" ht="18.75" customHeight="1">
      <c r="A11" s="27">
        <v>8</v>
      </c>
      <c r="B11" s="27" t="s">
        <v>402</v>
      </c>
      <c r="C11" s="27">
        <v>118</v>
      </c>
      <c r="D11" s="27">
        <v>355</v>
      </c>
      <c r="E11" s="27">
        <v>255</v>
      </c>
      <c r="F11" s="27">
        <v>3825</v>
      </c>
      <c r="G11" s="27"/>
      <c r="H11" s="27"/>
      <c r="I11" s="27"/>
      <c r="J11" s="27" t="s">
        <v>22</v>
      </c>
      <c r="K11" s="27" t="s">
        <v>403</v>
      </c>
      <c r="L11" s="44" t="s">
        <v>404</v>
      </c>
      <c r="M11" s="27">
        <f>150000*0+270000</f>
        <v>270000</v>
      </c>
      <c r="N11" s="27">
        <f>55*1800</f>
        <v>99000</v>
      </c>
      <c r="O11" s="94">
        <f t="shared" si="0"/>
        <v>59400</v>
      </c>
      <c r="P11" s="55"/>
      <c r="Q11" s="56" t="s">
        <v>26</v>
      </c>
      <c r="R11" s="93" t="s">
        <v>25</v>
      </c>
      <c r="S11" s="56"/>
    </row>
    <row r="12" spans="1:19" s="41" customFormat="1" ht="34.5" customHeight="1">
      <c r="A12" s="27">
        <v>9</v>
      </c>
      <c r="B12" s="27" t="s">
        <v>405</v>
      </c>
      <c r="C12" s="27">
        <v>464</v>
      </c>
      <c r="D12" s="27">
        <v>1265</v>
      </c>
      <c r="E12" s="27">
        <v>1259</v>
      </c>
      <c r="F12" s="27">
        <v>18885</v>
      </c>
      <c r="G12" s="27"/>
      <c r="H12" s="27"/>
      <c r="I12" s="27"/>
      <c r="J12" s="27" t="s">
        <v>376</v>
      </c>
      <c r="K12" s="27" t="s">
        <v>406</v>
      </c>
      <c r="L12" s="44" t="s">
        <v>407</v>
      </c>
      <c r="M12" s="27">
        <v>272489</v>
      </c>
      <c r="N12" s="27">
        <f>322*125+150*220+100*355+57*65+16*700+(322+150+100+57)*(20+0.8*50)</f>
        <v>161395</v>
      </c>
      <c r="O12" s="94">
        <f t="shared" si="0"/>
        <v>96837</v>
      </c>
      <c r="P12" s="55"/>
      <c r="Q12" s="56" t="s">
        <v>26</v>
      </c>
      <c r="R12" s="93" t="s">
        <v>25</v>
      </c>
      <c r="S12" s="56"/>
    </row>
    <row r="13" spans="1:19" s="15" customFormat="1" ht="19.5" customHeight="1">
      <c r="A13" s="27">
        <v>10</v>
      </c>
      <c r="B13" s="27" t="s">
        <v>408</v>
      </c>
      <c r="C13" s="27">
        <v>467</v>
      </c>
      <c r="D13" s="27">
        <v>467</v>
      </c>
      <c r="E13" s="27">
        <v>467</v>
      </c>
      <c r="F13" s="27">
        <v>7005</v>
      </c>
      <c r="G13" s="27"/>
      <c r="H13" s="27"/>
      <c r="I13" s="27"/>
      <c r="J13" s="27" t="s">
        <v>409</v>
      </c>
      <c r="K13" s="27" t="s">
        <v>410</v>
      </c>
      <c r="L13" s="44" t="s">
        <v>411</v>
      </c>
      <c r="M13" s="27">
        <f>180000*0+299397</f>
        <v>299397</v>
      </c>
      <c r="N13" s="27">
        <f>1000*2.5*50</f>
        <v>125000</v>
      </c>
      <c r="O13" s="94">
        <f t="shared" si="0"/>
        <v>75000</v>
      </c>
      <c r="P13" s="55"/>
      <c r="Q13" s="56" t="s">
        <v>26</v>
      </c>
      <c r="R13" s="93" t="s">
        <v>27</v>
      </c>
      <c r="S13" s="56"/>
    </row>
    <row r="14" spans="1:19" s="14" customFormat="1" ht="21" customHeight="1">
      <c r="A14" s="27">
        <v>11</v>
      </c>
      <c r="B14" s="27" t="s">
        <v>412</v>
      </c>
      <c r="C14" s="27">
        <v>124</v>
      </c>
      <c r="D14" s="27">
        <v>493</v>
      </c>
      <c r="E14" s="27">
        <v>450</v>
      </c>
      <c r="F14" s="27">
        <v>6750</v>
      </c>
      <c r="G14" s="27"/>
      <c r="H14" s="27"/>
      <c r="I14" s="27"/>
      <c r="J14" s="27" t="s">
        <v>413</v>
      </c>
      <c r="K14" s="27" t="s">
        <v>414</v>
      </c>
      <c r="L14" s="44" t="s">
        <v>415</v>
      </c>
      <c r="M14" s="27">
        <v>290750</v>
      </c>
      <c r="N14" s="27">
        <f>500*(4.7+10+3)+30000</f>
        <v>38850</v>
      </c>
      <c r="O14" s="94">
        <f t="shared" si="0"/>
        <v>23310</v>
      </c>
      <c r="P14" s="55"/>
      <c r="Q14" s="56"/>
      <c r="R14" s="93"/>
      <c r="S14" s="56"/>
    </row>
    <row r="15" spans="1:19" s="15" customFormat="1" ht="24.75" customHeight="1">
      <c r="A15" s="27">
        <v>12</v>
      </c>
      <c r="B15" s="27" t="s">
        <v>416</v>
      </c>
      <c r="C15" s="27">
        <v>137</v>
      </c>
      <c r="D15" s="27">
        <v>345</v>
      </c>
      <c r="E15" s="27">
        <v>340</v>
      </c>
      <c r="F15" s="27">
        <v>5100</v>
      </c>
      <c r="G15" s="27">
        <v>98</v>
      </c>
      <c r="H15" s="27">
        <v>14700</v>
      </c>
      <c r="I15" s="27"/>
      <c r="J15" s="27" t="s">
        <v>417</v>
      </c>
      <c r="K15" s="27" t="s">
        <v>418</v>
      </c>
      <c r="L15" s="44" t="s">
        <v>419</v>
      </c>
      <c r="M15" s="27">
        <v>147742</v>
      </c>
      <c r="N15" s="27">
        <f>2000*10+54*100+5*1000</f>
        <v>30400</v>
      </c>
      <c r="O15" s="94">
        <f t="shared" si="0"/>
        <v>18240</v>
      </c>
      <c r="P15" s="55"/>
      <c r="Q15" s="56"/>
      <c r="R15" s="93"/>
      <c r="S15" s="56"/>
    </row>
    <row r="16" spans="1:19" s="14" customFormat="1" ht="19.5" customHeight="1">
      <c r="A16" s="27">
        <v>13</v>
      </c>
      <c r="B16" s="27" t="s">
        <v>420</v>
      </c>
      <c r="C16" s="27">
        <v>275</v>
      </c>
      <c r="D16" s="27">
        <v>699</v>
      </c>
      <c r="E16" s="27">
        <v>600</v>
      </c>
      <c r="F16" s="27">
        <v>9000</v>
      </c>
      <c r="G16" s="27"/>
      <c r="H16" s="27"/>
      <c r="I16" s="27"/>
      <c r="J16" s="27" t="s">
        <v>421</v>
      </c>
      <c r="K16" s="27" t="s">
        <v>422</v>
      </c>
      <c r="L16" s="44" t="s">
        <v>423</v>
      </c>
      <c r="M16" s="27">
        <v>292387</v>
      </c>
      <c r="N16" s="27">
        <f>20*13*0.75*430+20*2*1.5*260+21*10*2*15+3000+50*10*0.24*430+180*15+20000</f>
        <v>183050</v>
      </c>
      <c r="O16" s="94">
        <f t="shared" si="0"/>
        <v>109830</v>
      </c>
      <c r="P16" s="55"/>
      <c r="Q16" s="56"/>
      <c r="R16" s="93"/>
      <c r="S16" s="56"/>
    </row>
    <row r="17" spans="1:19" s="15" customFormat="1" ht="18" customHeight="1">
      <c r="A17" s="27">
        <v>14</v>
      </c>
      <c r="B17" s="27" t="s">
        <v>424</v>
      </c>
      <c r="C17" s="27">
        <v>289</v>
      </c>
      <c r="D17" s="27">
        <v>1078</v>
      </c>
      <c r="E17" s="27">
        <v>1050</v>
      </c>
      <c r="F17" s="27">
        <v>15750</v>
      </c>
      <c r="G17" s="27">
        <v>890</v>
      </c>
      <c r="H17" s="27">
        <v>8900</v>
      </c>
      <c r="I17" s="27"/>
      <c r="J17" s="27" t="s">
        <v>512</v>
      </c>
      <c r="K17" s="27" t="s">
        <v>513</v>
      </c>
      <c r="L17" s="44" t="s">
        <v>520</v>
      </c>
      <c r="M17" s="27">
        <v>300000</v>
      </c>
      <c r="N17" s="27">
        <f>(40*80+30*32)*50</f>
        <v>208000</v>
      </c>
      <c r="O17" s="94">
        <f t="shared" si="0"/>
        <v>124800</v>
      </c>
      <c r="P17" s="55"/>
      <c r="Q17" s="56"/>
      <c r="R17" s="93"/>
      <c r="S17" s="56"/>
    </row>
    <row r="18" spans="1:19" s="42" customFormat="1" ht="24.75" customHeight="1">
      <c r="A18" s="27">
        <v>15</v>
      </c>
      <c r="B18" s="27" t="s">
        <v>425</v>
      </c>
      <c r="C18" s="27"/>
      <c r="D18" s="27"/>
      <c r="E18" s="27"/>
      <c r="F18" s="27"/>
      <c r="G18" s="27"/>
      <c r="H18" s="27"/>
      <c r="I18" s="27"/>
      <c r="J18" s="27" t="s">
        <v>22</v>
      </c>
      <c r="K18" s="27" t="s">
        <v>426</v>
      </c>
      <c r="L18" s="44" t="s">
        <v>427</v>
      </c>
      <c r="M18" s="27">
        <v>296200</v>
      </c>
      <c r="N18" s="27">
        <f>650*50+150*3*150+300*30+60*0.24*2*460</f>
        <v>122248</v>
      </c>
      <c r="O18" s="94">
        <f t="shared" si="0"/>
        <v>73348.8</v>
      </c>
      <c r="P18" s="55"/>
      <c r="Q18" s="56"/>
      <c r="R18" s="93"/>
      <c r="S18" s="56"/>
    </row>
    <row r="19" spans="1:19" s="14" customFormat="1" ht="27.75" customHeight="1">
      <c r="A19" s="27">
        <v>16</v>
      </c>
      <c r="B19" s="27" t="s">
        <v>428</v>
      </c>
      <c r="C19" s="27"/>
      <c r="D19" s="27"/>
      <c r="E19" s="27"/>
      <c r="F19" s="27"/>
      <c r="G19" s="27"/>
      <c r="H19" s="27"/>
      <c r="I19" s="27"/>
      <c r="J19" s="27" t="s">
        <v>429</v>
      </c>
      <c r="K19" s="27" t="s">
        <v>430</v>
      </c>
      <c r="L19" s="44" t="s">
        <v>431</v>
      </c>
      <c r="M19" s="27">
        <v>291000</v>
      </c>
      <c r="N19" s="27">
        <f>1300*5+1000*1*2*10+2300*4*13.3</f>
        <v>148860</v>
      </c>
      <c r="O19" s="94">
        <f t="shared" si="0"/>
        <v>89316</v>
      </c>
      <c r="P19" s="55"/>
      <c r="Q19" s="56"/>
      <c r="R19" s="93"/>
      <c r="S19" s="56"/>
    </row>
    <row r="20" spans="1:19" s="14" customFormat="1" ht="23.25" customHeight="1">
      <c r="A20" s="27">
        <v>17</v>
      </c>
      <c r="B20" s="27" t="s">
        <v>432</v>
      </c>
      <c r="C20" s="27"/>
      <c r="D20" s="27"/>
      <c r="E20" s="27"/>
      <c r="F20" s="27"/>
      <c r="G20" s="27"/>
      <c r="H20" s="27"/>
      <c r="I20" s="27"/>
      <c r="J20" s="27" t="s">
        <v>22</v>
      </c>
      <c r="K20" s="27" t="s">
        <v>45</v>
      </c>
      <c r="L20" s="44" t="s">
        <v>433</v>
      </c>
      <c r="M20" s="27">
        <v>194956</v>
      </c>
      <c r="N20" s="27">
        <f>60*4*60+130*5*60+160*5*60</f>
        <v>101400</v>
      </c>
      <c r="O20" s="94">
        <f t="shared" si="0"/>
        <v>60840</v>
      </c>
      <c r="P20" s="55"/>
      <c r="Q20" s="56"/>
      <c r="R20" s="93"/>
      <c r="S20" s="56"/>
    </row>
    <row r="21" spans="1:19" s="18" customFormat="1" ht="21" customHeight="1">
      <c r="A21" s="84">
        <v>17</v>
      </c>
      <c r="B21" s="84" t="s">
        <v>31</v>
      </c>
      <c r="C21" s="84">
        <f aca="true" t="shared" si="1" ref="C21:H21">SUM(C4:C17)</f>
        <v>3827</v>
      </c>
      <c r="D21" s="84">
        <f t="shared" si="1"/>
        <v>11045</v>
      </c>
      <c r="E21" s="84">
        <f t="shared" si="1"/>
        <v>9776</v>
      </c>
      <c r="F21" s="84">
        <f t="shared" si="1"/>
        <v>332688</v>
      </c>
      <c r="G21" s="84">
        <f t="shared" si="1"/>
        <v>988</v>
      </c>
      <c r="H21" s="84">
        <f t="shared" si="1"/>
        <v>23600</v>
      </c>
      <c r="I21" s="84"/>
      <c r="J21" s="84"/>
      <c r="K21" s="84"/>
      <c r="L21" s="84"/>
      <c r="M21" s="99">
        <f>SUM(M4:M20)</f>
        <v>4449931</v>
      </c>
      <c r="N21" s="99">
        <f>SUM(N4:N20)</f>
        <v>2269815.5</v>
      </c>
      <c r="O21" s="97">
        <f>SUM(O4:O20)</f>
        <v>1361889.3</v>
      </c>
      <c r="P21" s="85"/>
      <c r="Q21" s="86"/>
      <c r="R21" s="100" t="s">
        <v>27</v>
      </c>
      <c r="S21" s="86"/>
    </row>
    <row r="22" spans="2:16" s="18" customFormat="1" ht="15" customHeight="1">
      <c r="B22" s="23" t="s">
        <v>32</v>
      </c>
      <c r="C22" s="23"/>
      <c r="D22" s="23"/>
      <c r="E22" s="23"/>
      <c r="F22" s="23"/>
      <c r="G22" s="23"/>
      <c r="H22" s="23"/>
      <c r="I22" s="23"/>
      <c r="J22" s="37"/>
      <c r="K22" s="23"/>
      <c r="L22" s="38"/>
      <c r="P22" s="37"/>
    </row>
    <row r="23" spans="1:16" s="1" customFormat="1" ht="15" customHeight="1">
      <c r="A23" s="18"/>
      <c r="B23" s="24" t="s">
        <v>33</v>
      </c>
      <c r="C23" s="24"/>
      <c r="D23" s="24"/>
      <c r="E23" s="24"/>
      <c r="F23" s="24"/>
      <c r="G23" s="24"/>
      <c r="H23" s="24"/>
      <c r="I23" s="24"/>
      <c r="J23" s="3"/>
      <c r="K23" s="24"/>
      <c r="L23" s="19"/>
      <c r="P23" s="3"/>
    </row>
    <row r="24" spans="1:16" s="1" customFormat="1" ht="15" customHeight="1">
      <c r="A24" s="18"/>
      <c r="B24" s="24" t="s">
        <v>34</v>
      </c>
      <c r="C24" s="24"/>
      <c r="D24" s="24"/>
      <c r="E24" s="24"/>
      <c r="F24" s="24"/>
      <c r="G24" s="24"/>
      <c r="H24" s="24"/>
      <c r="I24" s="24"/>
      <c r="J24" s="3"/>
      <c r="K24" s="24"/>
      <c r="L24" s="19"/>
      <c r="P24" s="3"/>
    </row>
    <row r="25" spans="1:16" s="1" customFormat="1" ht="30" customHeight="1">
      <c r="A25" s="18"/>
      <c r="J25" s="3"/>
      <c r="K25" s="3"/>
      <c r="L25" s="19"/>
      <c r="P25" s="3"/>
    </row>
    <row r="26" spans="1:16" s="1" customFormat="1" ht="30" customHeight="1">
      <c r="A26" s="18"/>
      <c r="J26" s="3"/>
      <c r="K26" s="3"/>
      <c r="L26" s="19"/>
      <c r="P26" s="3"/>
    </row>
    <row r="27" spans="1:16" s="1" customFormat="1" ht="30" customHeight="1">
      <c r="A27" s="18"/>
      <c r="J27" s="3"/>
      <c r="K27" s="3"/>
      <c r="L27" s="19"/>
      <c r="P27" s="3"/>
    </row>
    <row r="28" spans="1:16" s="1" customFormat="1" ht="30" customHeight="1">
      <c r="A28" s="18"/>
      <c r="J28" s="3"/>
      <c r="K28" s="3"/>
      <c r="L28" s="19"/>
      <c r="P28" s="3"/>
    </row>
    <row r="29" spans="1:16" s="1" customFormat="1" ht="30" customHeight="1">
      <c r="A29" s="18"/>
      <c r="J29" s="3"/>
      <c r="K29" s="3"/>
      <c r="L29" s="19"/>
      <c r="P29" s="3"/>
    </row>
    <row r="30" ht="30" customHeight="1">
      <c r="A30" s="18"/>
    </row>
    <row r="31" ht="30" customHeight="1">
      <c r="A31" s="18"/>
    </row>
    <row r="32" ht="30" customHeight="1">
      <c r="A32" s="18"/>
    </row>
    <row r="33" ht="30" customHeight="1">
      <c r="A33" s="18"/>
    </row>
    <row r="34" ht="30" customHeight="1">
      <c r="A34" s="18"/>
    </row>
    <row r="35" ht="30" customHeight="1">
      <c r="A35" s="1"/>
    </row>
    <row r="36" ht="30" customHeight="1">
      <c r="A36" s="1"/>
    </row>
    <row r="37" ht="30" customHeight="1">
      <c r="A37" s="1"/>
    </row>
    <row r="38" ht="30" customHeight="1">
      <c r="A38" s="1"/>
    </row>
    <row r="39" ht="30" customHeight="1">
      <c r="A39" s="1"/>
    </row>
    <row r="40" ht="30" customHeight="1">
      <c r="A40" s="1"/>
    </row>
    <row r="41" ht="30" customHeight="1">
      <c r="A41" s="1"/>
    </row>
    <row r="42" ht="30" customHeight="1">
      <c r="A42" s="1"/>
    </row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sheetProtection/>
  <mergeCells count="1">
    <mergeCell ref="A1:R1"/>
  </mergeCells>
  <printOptions/>
  <pageMargins left="0.25" right="0.17" top="0.43" bottom="0.27" header="0.5" footer="0.3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S42"/>
  <sheetViews>
    <sheetView workbookViewId="0" topLeftCell="A1">
      <pane xSplit="2" ySplit="1" topLeftCell="K11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4.25"/>
  <cols>
    <col min="1" max="1" width="3.875" style="2" customWidth="1"/>
    <col min="2" max="2" width="9.00390625" style="2" customWidth="1"/>
    <col min="3" max="7" width="6.625" style="2" hidden="1" customWidth="1"/>
    <col min="8" max="8" width="7.625" style="2" hidden="1" customWidth="1"/>
    <col min="9" max="9" width="2.125" style="2" hidden="1" customWidth="1"/>
    <col min="10" max="10" width="14.75390625" style="3" customWidth="1"/>
    <col min="11" max="11" width="19.875" style="3" customWidth="1"/>
    <col min="12" max="12" width="44.75390625" style="19" customWidth="1"/>
    <col min="13" max="13" width="10.75390625" style="2" customWidth="1"/>
    <col min="14" max="14" width="10.375" style="2" customWidth="1"/>
    <col min="15" max="15" width="9.625" style="2" customWidth="1"/>
    <col min="16" max="16" width="9.00390625" style="3" hidden="1" customWidth="1"/>
    <col min="17" max="17" width="5.625" style="2" hidden="1" customWidth="1"/>
    <col min="18" max="18" width="6.375" style="2" hidden="1" customWidth="1"/>
    <col min="19" max="19" width="7.125" style="2" customWidth="1"/>
    <col min="20" max="16384" width="9.00390625" style="2" customWidth="1"/>
  </cols>
  <sheetData>
    <row r="1" spans="1:18" ht="34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6" ht="13.5">
      <c r="A2" s="2" t="s">
        <v>435</v>
      </c>
      <c r="P2" s="3" t="s">
        <v>3</v>
      </c>
    </row>
    <row r="3" spans="1:19" s="1" customFormat="1" ht="25.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25" t="s">
        <v>19</v>
      </c>
      <c r="Q3" s="6" t="s">
        <v>20</v>
      </c>
      <c r="R3" s="6" t="s">
        <v>19</v>
      </c>
      <c r="S3" s="5" t="s">
        <v>516</v>
      </c>
    </row>
    <row r="4" spans="1:19" s="14" customFormat="1" ht="25.5" customHeight="1">
      <c r="A4" s="6">
        <v>1</v>
      </c>
      <c r="B4" s="6" t="s">
        <v>436</v>
      </c>
      <c r="C4" s="6">
        <v>352</v>
      </c>
      <c r="D4" s="6">
        <v>976</v>
      </c>
      <c r="E4" s="6">
        <v>710</v>
      </c>
      <c r="F4" s="6">
        <v>10650</v>
      </c>
      <c r="G4" s="6"/>
      <c r="H4" s="6"/>
      <c r="I4" s="6"/>
      <c r="J4" s="6" t="s">
        <v>22</v>
      </c>
      <c r="K4" s="6" t="s">
        <v>437</v>
      </c>
      <c r="L4" s="26" t="s">
        <v>438</v>
      </c>
      <c r="M4" s="6">
        <v>229938.2</v>
      </c>
      <c r="N4" s="27">
        <f>500*(15+40+20)+230*1*60</f>
        <v>51300</v>
      </c>
      <c r="O4" s="58">
        <f>N4*0.6</f>
        <v>30780</v>
      </c>
      <c r="P4" s="6"/>
      <c r="Q4" s="6"/>
      <c r="R4" s="6"/>
      <c r="S4" s="5"/>
    </row>
    <row r="5" spans="1:19" s="14" customFormat="1" ht="14.25" customHeight="1">
      <c r="A5" s="6">
        <v>2</v>
      </c>
      <c r="B5" s="6" t="s">
        <v>439</v>
      </c>
      <c r="C5" s="6">
        <v>136</v>
      </c>
      <c r="D5" s="6">
        <v>438</v>
      </c>
      <c r="E5" s="6">
        <v>287</v>
      </c>
      <c r="F5" s="6">
        <v>2810</v>
      </c>
      <c r="G5" s="6"/>
      <c r="H5" s="6"/>
      <c r="I5" s="6"/>
      <c r="J5" s="6" t="s">
        <v>22</v>
      </c>
      <c r="K5" s="6" t="s">
        <v>440</v>
      </c>
      <c r="L5" s="26" t="s">
        <v>441</v>
      </c>
      <c r="M5" s="6">
        <v>255867.56</v>
      </c>
      <c r="N5" s="6">
        <f>60*1800</f>
        <v>108000</v>
      </c>
      <c r="O5" s="58">
        <f aca="true" t="shared" si="0" ref="O5:O20">N5*0.6</f>
        <v>64800</v>
      </c>
      <c r="P5" s="28" t="s">
        <v>46</v>
      </c>
      <c r="Q5" s="5" t="s">
        <v>26</v>
      </c>
      <c r="R5" s="5" t="s">
        <v>27</v>
      </c>
      <c r="S5" s="5"/>
    </row>
    <row r="6" spans="1:19" s="1" customFormat="1" ht="24">
      <c r="A6" s="6">
        <v>3</v>
      </c>
      <c r="B6" s="6" t="s">
        <v>442</v>
      </c>
      <c r="C6" s="6">
        <v>336</v>
      </c>
      <c r="D6" s="6">
        <v>964</v>
      </c>
      <c r="E6" s="6">
        <v>786</v>
      </c>
      <c r="F6" s="6">
        <v>11790</v>
      </c>
      <c r="G6" s="6"/>
      <c r="H6" s="6"/>
      <c r="I6" s="6"/>
      <c r="J6" s="6" t="s">
        <v>443</v>
      </c>
      <c r="K6" s="6" t="s">
        <v>444</v>
      </c>
      <c r="L6" s="26" t="s">
        <v>445</v>
      </c>
      <c r="M6" s="6">
        <v>299700</v>
      </c>
      <c r="N6" s="7">
        <f>35000+174*1.2*0.37*460+900*200</f>
        <v>250537.76</v>
      </c>
      <c r="O6" s="58">
        <f t="shared" si="0"/>
        <v>150322.656</v>
      </c>
      <c r="P6" s="29"/>
      <c r="Q6" s="5" t="s">
        <v>26</v>
      </c>
      <c r="R6" s="5" t="s">
        <v>27</v>
      </c>
      <c r="S6" s="5"/>
    </row>
    <row r="7" spans="1:19" s="14" customFormat="1" ht="20.25" customHeight="1">
      <c r="A7" s="6">
        <v>4</v>
      </c>
      <c r="B7" s="6" t="s">
        <v>446</v>
      </c>
      <c r="C7" s="6">
        <v>275</v>
      </c>
      <c r="D7" s="6">
        <v>660</v>
      </c>
      <c r="E7" s="6">
        <v>382</v>
      </c>
      <c r="F7" s="6">
        <v>3820</v>
      </c>
      <c r="G7" s="6"/>
      <c r="H7" s="6"/>
      <c r="I7" s="6"/>
      <c r="J7" s="6" t="s">
        <v>447</v>
      </c>
      <c r="K7" s="6" t="s">
        <v>448</v>
      </c>
      <c r="L7" s="26" t="s">
        <v>449</v>
      </c>
      <c r="M7" s="6">
        <v>263820</v>
      </c>
      <c r="N7" s="6">
        <f>(22*5+30)*1350</f>
        <v>189000</v>
      </c>
      <c r="O7" s="58">
        <f t="shared" si="0"/>
        <v>113400</v>
      </c>
      <c r="P7" s="29"/>
      <c r="Q7" s="5" t="s">
        <v>26</v>
      </c>
      <c r="R7" s="5" t="s">
        <v>450</v>
      </c>
      <c r="S7" s="5"/>
    </row>
    <row r="8" spans="1:19" s="14" customFormat="1" ht="15.75" customHeight="1">
      <c r="A8" s="6">
        <v>5</v>
      </c>
      <c r="B8" s="6" t="s">
        <v>451</v>
      </c>
      <c r="C8" s="6">
        <v>369</v>
      </c>
      <c r="D8" s="6">
        <v>962</v>
      </c>
      <c r="E8" s="6">
        <v>962</v>
      </c>
      <c r="F8" s="6">
        <v>9620</v>
      </c>
      <c r="G8" s="6"/>
      <c r="H8" s="6"/>
      <c r="I8" s="6"/>
      <c r="J8" s="6" t="s">
        <v>22</v>
      </c>
      <c r="K8" s="6" t="s">
        <v>452</v>
      </c>
      <c r="L8" s="26" t="s">
        <v>453</v>
      </c>
      <c r="M8" s="6">
        <v>293142</v>
      </c>
      <c r="N8" s="6">
        <f>375*8*(74+72*0.15*0)</f>
        <v>222000</v>
      </c>
      <c r="O8" s="58">
        <f t="shared" si="0"/>
        <v>133200</v>
      </c>
      <c r="P8" s="29"/>
      <c r="Q8" s="5" t="s">
        <v>26</v>
      </c>
      <c r="R8" s="5" t="s">
        <v>25</v>
      </c>
      <c r="S8" s="5"/>
    </row>
    <row r="9" spans="1:19" s="1" customFormat="1" ht="18.75" customHeight="1">
      <c r="A9" s="6">
        <v>6</v>
      </c>
      <c r="B9" s="6" t="s">
        <v>454</v>
      </c>
      <c r="C9" s="6">
        <v>260</v>
      </c>
      <c r="D9" s="6">
        <v>799</v>
      </c>
      <c r="E9" s="6">
        <v>520</v>
      </c>
      <c r="F9" s="6">
        <v>7800</v>
      </c>
      <c r="G9" s="6"/>
      <c r="H9" s="6"/>
      <c r="I9" s="6"/>
      <c r="J9" s="6" t="s">
        <v>22</v>
      </c>
      <c r="K9" s="6" t="s">
        <v>455</v>
      </c>
      <c r="L9" s="26" t="s">
        <v>527</v>
      </c>
      <c r="M9" s="6">
        <v>298837</v>
      </c>
      <c r="N9" s="6">
        <f>(450*3+550*3+350*3*0+510*3*0)*50</f>
        <v>150000</v>
      </c>
      <c r="O9" s="58">
        <f t="shared" si="0"/>
        <v>90000</v>
      </c>
      <c r="P9" s="29"/>
      <c r="Q9" s="5" t="s">
        <v>26</v>
      </c>
      <c r="R9" s="5" t="s">
        <v>25</v>
      </c>
      <c r="S9" s="5"/>
    </row>
    <row r="10" spans="1:19" s="1" customFormat="1" ht="17.25" customHeight="1">
      <c r="A10" s="6">
        <v>7</v>
      </c>
      <c r="B10" s="6" t="s">
        <v>456</v>
      </c>
      <c r="C10" s="6">
        <v>208</v>
      </c>
      <c r="D10" s="6">
        <v>540</v>
      </c>
      <c r="E10" s="6">
        <v>485</v>
      </c>
      <c r="F10" s="6">
        <v>5820</v>
      </c>
      <c r="G10" s="6"/>
      <c r="H10" s="6"/>
      <c r="I10" s="6"/>
      <c r="J10" s="6" t="s">
        <v>22</v>
      </c>
      <c r="K10" s="6" t="s">
        <v>457</v>
      </c>
      <c r="L10" s="26" t="s">
        <v>458</v>
      </c>
      <c r="M10" s="6">
        <v>292198.82</v>
      </c>
      <c r="N10" s="6">
        <f>17*14*1000</f>
        <v>238000</v>
      </c>
      <c r="O10" s="58">
        <f t="shared" si="0"/>
        <v>142800</v>
      </c>
      <c r="P10" s="29"/>
      <c r="Q10" s="5" t="s">
        <v>26</v>
      </c>
      <c r="R10" s="5" t="s">
        <v>27</v>
      </c>
      <c r="S10" s="5"/>
    </row>
    <row r="11" spans="1:19" s="14" customFormat="1" ht="21.75" customHeight="1">
      <c r="A11" s="6">
        <v>8</v>
      </c>
      <c r="B11" s="6" t="s">
        <v>459</v>
      </c>
      <c r="C11" s="6">
        <v>235</v>
      </c>
      <c r="D11" s="6">
        <v>658</v>
      </c>
      <c r="E11" s="6">
        <v>594</v>
      </c>
      <c r="F11" s="6">
        <v>8910</v>
      </c>
      <c r="G11" s="6"/>
      <c r="H11" s="6"/>
      <c r="I11" s="6"/>
      <c r="J11" s="6" t="s">
        <v>460</v>
      </c>
      <c r="K11" s="6" t="s">
        <v>461</v>
      </c>
      <c r="L11" s="26" t="s">
        <v>462</v>
      </c>
      <c r="M11" s="6">
        <v>294273</v>
      </c>
      <c r="N11" s="6">
        <f>(1700+70+30)*(49+10+10)+22*300+1*2000</f>
        <v>132800</v>
      </c>
      <c r="O11" s="58">
        <f t="shared" si="0"/>
        <v>79680</v>
      </c>
      <c r="P11" s="29"/>
      <c r="Q11" s="5" t="s">
        <v>26</v>
      </c>
      <c r="R11" s="5" t="s">
        <v>27</v>
      </c>
      <c r="S11" s="5"/>
    </row>
    <row r="12" spans="1:19" s="16" customFormat="1" ht="26.25" customHeight="1">
      <c r="A12" s="6">
        <v>9</v>
      </c>
      <c r="B12" s="6" t="s">
        <v>463</v>
      </c>
      <c r="C12" s="6">
        <v>174</v>
      </c>
      <c r="D12" s="6">
        <v>524</v>
      </c>
      <c r="E12" s="6">
        <v>524</v>
      </c>
      <c r="F12" s="6">
        <v>5240</v>
      </c>
      <c r="G12" s="6"/>
      <c r="H12" s="6"/>
      <c r="I12" s="6"/>
      <c r="J12" s="6" t="s">
        <v>464</v>
      </c>
      <c r="K12" s="6" t="s">
        <v>465</v>
      </c>
      <c r="L12" s="26" t="s">
        <v>466</v>
      </c>
      <c r="M12" s="6">
        <v>113554</v>
      </c>
      <c r="N12" s="6">
        <f>2000*(20+3.5+10)+5000</f>
        <v>72000</v>
      </c>
      <c r="O12" s="58">
        <f t="shared" si="0"/>
        <v>43200</v>
      </c>
      <c r="P12" s="34"/>
      <c r="Q12" s="40"/>
      <c r="R12" s="40" t="s">
        <v>27</v>
      </c>
      <c r="S12" s="5"/>
    </row>
    <row r="13" spans="1:19" s="1" customFormat="1" ht="16.5" customHeight="1">
      <c r="A13" s="6">
        <v>10</v>
      </c>
      <c r="B13" s="6" t="s">
        <v>467</v>
      </c>
      <c r="C13" s="6">
        <v>321</v>
      </c>
      <c r="D13" s="6">
        <v>870</v>
      </c>
      <c r="E13" s="6">
        <v>700</v>
      </c>
      <c r="F13" s="6">
        <v>10500</v>
      </c>
      <c r="G13" s="6"/>
      <c r="H13" s="6"/>
      <c r="I13" s="6"/>
      <c r="J13" s="6" t="s">
        <v>22</v>
      </c>
      <c r="K13" s="6" t="s">
        <v>468</v>
      </c>
      <c r="L13" s="26" t="s">
        <v>469</v>
      </c>
      <c r="M13" s="6">
        <v>275960</v>
      </c>
      <c r="N13" s="6">
        <f>(400*500+2*5000*0)</f>
        <v>200000</v>
      </c>
      <c r="O13" s="58">
        <f t="shared" si="0"/>
        <v>120000</v>
      </c>
      <c r="P13" s="29"/>
      <c r="Q13" s="5"/>
      <c r="R13" s="5"/>
      <c r="S13" s="5"/>
    </row>
    <row r="14" spans="1:19" s="16" customFormat="1" ht="25.5" customHeight="1">
      <c r="A14" s="6">
        <v>11</v>
      </c>
      <c r="B14" s="6" t="s">
        <v>470</v>
      </c>
      <c r="C14" s="6">
        <v>122</v>
      </c>
      <c r="D14" s="6">
        <v>287</v>
      </c>
      <c r="E14" s="6">
        <v>287</v>
      </c>
      <c r="F14" s="6">
        <v>4305</v>
      </c>
      <c r="G14" s="6"/>
      <c r="H14" s="6"/>
      <c r="I14" s="6"/>
      <c r="J14" s="6" t="s">
        <v>22</v>
      </c>
      <c r="K14" s="6" t="s">
        <v>471</v>
      </c>
      <c r="L14" s="26" t="s">
        <v>472</v>
      </c>
      <c r="M14" s="6">
        <v>111300</v>
      </c>
      <c r="N14" s="6">
        <f>(600*2.5+1000*3+500*2.5*2+500*3)*11.5</f>
        <v>97750</v>
      </c>
      <c r="O14" s="58">
        <f t="shared" si="0"/>
        <v>58650</v>
      </c>
      <c r="P14" s="34"/>
      <c r="Q14" s="40"/>
      <c r="R14" s="40"/>
      <c r="S14" s="5"/>
    </row>
    <row r="15" spans="1:19" s="16" customFormat="1" ht="25.5" customHeight="1">
      <c r="A15" s="6">
        <v>12</v>
      </c>
      <c r="B15" s="6" t="s">
        <v>473</v>
      </c>
      <c r="C15" s="6">
        <v>162</v>
      </c>
      <c r="D15" s="6">
        <v>382</v>
      </c>
      <c r="E15" s="6">
        <v>220</v>
      </c>
      <c r="F15" s="6">
        <v>3300</v>
      </c>
      <c r="G15" s="6"/>
      <c r="H15" s="6"/>
      <c r="I15" s="6"/>
      <c r="J15" s="6" t="s">
        <v>22</v>
      </c>
      <c r="K15" s="6" t="s">
        <v>474</v>
      </c>
      <c r="L15" s="26" t="s">
        <v>475</v>
      </c>
      <c r="M15" s="6">
        <v>205000</v>
      </c>
      <c r="N15" s="6">
        <f>1200*(10+3+10+0.6*50)+2200*(4.7+2+10+0.5*40)</f>
        <v>144340</v>
      </c>
      <c r="O15" s="58">
        <f t="shared" si="0"/>
        <v>86604</v>
      </c>
      <c r="P15" s="34"/>
      <c r="Q15" s="40"/>
      <c r="R15" s="40"/>
      <c r="S15" s="5"/>
    </row>
    <row r="16" spans="1:19" s="16" customFormat="1" ht="23.25" customHeight="1">
      <c r="A16" s="6">
        <v>13</v>
      </c>
      <c r="B16" s="6" t="s">
        <v>476</v>
      </c>
      <c r="C16" s="6">
        <v>294</v>
      </c>
      <c r="D16" s="6">
        <v>800</v>
      </c>
      <c r="E16" s="6">
        <v>550</v>
      </c>
      <c r="F16" s="6">
        <v>7700</v>
      </c>
      <c r="G16" s="6"/>
      <c r="H16" s="6"/>
      <c r="I16" s="6"/>
      <c r="J16" s="35" t="s">
        <v>526</v>
      </c>
      <c r="K16" s="6" t="s">
        <v>344</v>
      </c>
      <c r="L16" s="26" t="s">
        <v>525</v>
      </c>
      <c r="M16" s="6">
        <v>270186.48</v>
      </c>
      <c r="N16" s="6">
        <f>3*1200*50</f>
        <v>180000</v>
      </c>
      <c r="O16" s="58">
        <f t="shared" si="0"/>
        <v>108000</v>
      </c>
      <c r="P16" s="34"/>
      <c r="Q16" s="40"/>
      <c r="R16" s="40"/>
      <c r="S16" s="5"/>
    </row>
    <row r="17" spans="1:19" s="16" customFormat="1" ht="24">
      <c r="A17" s="6">
        <v>14</v>
      </c>
      <c r="B17" s="6" t="s">
        <v>477</v>
      </c>
      <c r="C17" s="6">
        <v>250</v>
      </c>
      <c r="D17" s="6">
        <v>680</v>
      </c>
      <c r="E17" s="6">
        <v>400</v>
      </c>
      <c r="F17" s="6">
        <v>6000</v>
      </c>
      <c r="G17" s="6"/>
      <c r="H17" s="6"/>
      <c r="I17" s="6"/>
      <c r="J17" s="6" t="s">
        <v>22</v>
      </c>
      <c r="K17" s="6" t="s">
        <v>344</v>
      </c>
      <c r="L17" s="26" t="s">
        <v>478</v>
      </c>
      <c r="M17" s="6">
        <v>291617</v>
      </c>
      <c r="N17" s="6">
        <f>(800+1200+500*0)*2.5*50+290000*0</f>
        <v>250000</v>
      </c>
      <c r="O17" s="58">
        <f t="shared" si="0"/>
        <v>150000</v>
      </c>
      <c r="P17" s="34"/>
      <c r="Q17" s="40"/>
      <c r="R17" s="40"/>
      <c r="S17" s="5"/>
    </row>
    <row r="18" spans="1:19" s="16" customFormat="1" ht="22.5" customHeight="1">
      <c r="A18" s="6">
        <v>15</v>
      </c>
      <c r="B18" s="6" t="s">
        <v>479</v>
      </c>
      <c r="C18" s="6">
        <v>214</v>
      </c>
      <c r="D18" s="6">
        <v>580</v>
      </c>
      <c r="E18" s="6">
        <v>350</v>
      </c>
      <c r="F18" s="6">
        <v>3500</v>
      </c>
      <c r="G18" s="6"/>
      <c r="H18" s="6"/>
      <c r="I18" s="6"/>
      <c r="J18" s="6" t="s">
        <v>480</v>
      </c>
      <c r="K18" s="6" t="s">
        <v>481</v>
      </c>
      <c r="L18" s="26" t="s">
        <v>482</v>
      </c>
      <c r="M18" s="6">
        <v>295171</v>
      </c>
      <c r="N18" s="6">
        <f>2830*60</f>
        <v>169800</v>
      </c>
      <c r="O18" s="58">
        <f t="shared" si="0"/>
        <v>101880</v>
      </c>
      <c r="P18" s="34"/>
      <c r="Q18" s="40"/>
      <c r="R18" s="40"/>
      <c r="S18" s="40"/>
    </row>
    <row r="19" spans="1:19" s="15" customFormat="1" ht="36">
      <c r="A19" s="6">
        <v>16</v>
      </c>
      <c r="B19" s="6" t="s">
        <v>483</v>
      </c>
      <c r="C19" s="6">
        <v>360</v>
      </c>
      <c r="D19" s="6">
        <v>956</v>
      </c>
      <c r="E19" s="6">
        <v>850</v>
      </c>
      <c r="F19" s="6">
        <v>11050</v>
      </c>
      <c r="G19" s="6"/>
      <c r="H19" s="6"/>
      <c r="I19" s="6"/>
      <c r="J19" s="6" t="s">
        <v>484</v>
      </c>
      <c r="K19" s="6" t="s">
        <v>485</v>
      </c>
      <c r="L19" s="26" t="s">
        <v>486</v>
      </c>
      <c r="M19" s="6">
        <v>275965.81</v>
      </c>
      <c r="N19" s="27">
        <f>(639+4800+1050*0.6*80+(3750+639)*0.6*60)</f>
        <v>213843</v>
      </c>
      <c r="O19" s="58">
        <f t="shared" si="0"/>
        <v>128305.79999999999</v>
      </c>
      <c r="P19" s="32"/>
      <c r="Q19" s="39"/>
      <c r="R19" s="39"/>
      <c r="S19" s="39"/>
    </row>
    <row r="20" spans="1:19" s="16" customFormat="1" ht="16.5" customHeight="1">
      <c r="A20" s="6">
        <v>17</v>
      </c>
      <c r="B20" s="6" t="s">
        <v>487</v>
      </c>
      <c r="C20" s="6">
        <v>360</v>
      </c>
      <c r="D20" s="6">
        <v>1085</v>
      </c>
      <c r="E20" s="6">
        <v>1010</v>
      </c>
      <c r="F20" s="6">
        <v>10100</v>
      </c>
      <c r="G20" s="6"/>
      <c r="H20" s="6"/>
      <c r="I20" s="6"/>
      <c r="J20" s="6" t="s">
        <v>22</v>
      </c>
      <c r="K20" s="6" t="s">
        <v>488</v>
      </c>
      <c r="L20" s="36" t="s">
        <v>489</v>
      </c>
      <c r="M20" s="6">
        <v>241131</v>
      </c>
      <c r="N20" s="6">
        <f>82*1800</f>
        <v>147600</v>
      </c>
      <c r="O20" s="58">
        <f t="shared" si="0"/>
        <v>88560</v>
      </c>
      <c r="P20" s="34"/>
      <c r="Q20" s="40"/>
      <c r="R20" s="40"/>
      <c r="S20" s="40"/>
    </row>
    <row r="21" spans="1:19" s="17" customFormat="1" ht="22.5" customHeight="1">
      <c r="A21" s="6">
        <v>17</v>
      </c>
      <c r="B21" s="6" t="s">
        <v>31</v>
      </c>
      <c r="C21" s="6">
        <f>SUM(C4:C20)</f>
        <v>4428</v>
      </c>
      <c r="D21" s="6">
        <f>SUM(D4:D20)</f>
        <v>12161</v>
      </c>
      <c r="E21" s="6">
        <f>SUM(E4:E20)</f>
        <v>9617</v>
      </c>
      <c r="F21" s="6">
        <f>SUM(F4:F20)</f>
        <v>122915</v>
      </c>
      <c r="G21" s="6"/>
      <c r="H21" s="6"/>
      <c r="I21" s="6"/>
      <c r="J21" s="6"/>
      <c r="K21" s="6"/>
      <c r="L21" s="6"/>
      <c r="M21" s="7">
        <f>SUM(M4:M20)</f>
        <v>4307661.87</v>
      </c>
      <c r="N21" s="7">
        <f>SUM(N4:N20)</f>
        <v>2816970.76</v>
      </c>
      <c r="O21" s="58">
        <f>SUM(O4:O20)</f>
        <v>1690182.456</v>
      </c>
      <c r="P21" s="29"/>
      <c r="Q21" s="5"/>
      <c r="R21" s="5"/>
      <c r="S21" s="5"/>
    </row>
    <row r="22" spans="2:16" s="18" customFormat="1" ht="15" customHeight="1">
      <c r="B22" s="23" t="s">
        <v>32</v>
      </c>
      <c r="C22" s="23"/>
      <c r="D22" s="23"/>
      <c r="E22" s="23"/>
      <c r="F22" s="23"/>
      <c r="G22" s="23"/>
      <c r="H22" s="23"/>
      <c r="I22" s="23"/>
      <c r="J22" s="37"/>
      <c r="K22" s="23"/>
      <c r="L22" s="38"/>
      <c r="P22" s="37"/>
    </row>
    <row r="23" spans="1:16" s="1" customFormat="1" ht="15" customHeight="1">
      <c r="A23" s="18"/>
      <c r="B23" s="24" t="s">
        <v>33</v>
      </c>
      <c r="C23" s="24"/>
      <c r="D23" s="24"/>
      <c r="E23" s="24"/>
      <c r="F23" s="24"/>
      <c r="G23" s="24"/>
      <c r="H23" s="24"/>
      <c r="I23" s="24"/>
      <c r="J23" s="3"/>
      <c r="K23" s="24"/>
      <c r="L23" s="19"/>
      <c r="P23" s="3"/>
    </row>
    <row r="24" spans="1:16" s="1" customFormat="1" ht="15" customHeight="1">
      <c r="A24" s="18"/>
      <c r="B24" s="24" t="s">
        <v>34</v>
      </c>
      <c r="C24" s="24"/>
      <c r="D24" s="24"/>
      <c r="E24" s="24"/>
      <c r="F24" s="24"/>
      <c r="G24" s="24"/>
      <c r="H24" s="24"/>
      <c r="I24" s="24"/>
      <c r="J24" s="3"/>
      <c r="K24" s="24"/>
      <c r="L24" s="19"/>
      <c r="P24" s="3"/>
    </row>
    <row r="25" spans="1:16" s="1" customFormat="1" ht="30" customHeight="1">
      <c r="A25" s="18"/>
      <c r="J25" s="3"/>
      <c r="K25" s="3"/>
      <c r="L25" s="19"/>
      <c r="P25" s="3"/>
    </row>
    <row r="26" spans="1:16" s="1" customFormat="1" ht="30" customHeight="1">
      <c r="A26" s="18"/>
      <c r="J26" s="3"/>
      <c r="K26" s="3"/>
      <c r="L26" s="19"/>
      <c r="P26" s="3"/>
    </row>
    <row r="27" spans="1:16" s="1" customFormat="1" ht="30" customHeight="1">
      <c r="A27" s="18"/>
      <c r="J27" s="3"/>
      <c r="K27" s="3"/>
      <c r="L27" s="19"/>
      <c r="P27" s="3"/>
    </row>
    <row r="28" spans="1:16" s="1" customFormat="1" ht="30" customHeight="1">
      <c r="A28" s="18"/>
      <c r="J28" s="3"/>
      <c r="K28" s="3"/>
      <c r="L28" s="19"/>
      <c r="P28" s="3"/>
    </row>
    <row r="29" spans="1:16" s="1" customFormat="1" ht="30" customHeight="1">
      <c r="A29" s="18"/>
      <c r="J29" s="3"/>
      <c r="K29" s="3"/>
      <c r="L29" s="19"/>
      <c r="P29" s="3"/>
    </row>
    <row r="30" ht="30" customHeight="1">
      <c r="A30" s="18"/>
    </row>
    <row r="31" ht="30" customHeight="1">
      <c r="A31" s="18"/>
    </row>
    <row r="32" ht="30" customHeight="1">
      <c r="A32" s="18"/>
    </row>
    <row r="33" ht="30" customHeight="1">
      <c r="A33" s="18"/>
    </row>
    <row r="34" ht="30" customHeight="1">
      <c r="A34" s="18"/>
    </row>
    <row r="35" ht="30" customHeight="1">
      <c r="A35" s="1"/>
    </row>
    <row r="36" ht="30" customHeight="1">
      <c r="A36" s="1"/>
    </row>
    <row r="37" ht="30" customHeight="1">
      <c r="A37" s="1"/>
    </row>
    <row r="38" ht="30" customHeight="1">
      <c r="A38" s="1"/>
    </row>
    <row r="39" ht="30" customHeight="1">
      <c r="A39" s="1"/>
    </row>
    <row r="40" ht="30" customHeight="1">
      <c r="A40" s="1"/>
    </row>
    <row r="41" ht="30" customHeight="1">
      <c r="A41" s="1"/>
    </row>
    <row r="42" ht="30" customHeight="1">
      <c r="A42" s="1"/>
    </row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</sheetData>
  <sheetProtection/>
  <mergeCells count="1">
    <mergeCell ref="A1:R1"/>
  </mergeCells>
  <printOptions/>
  <pageMargins left="0.52" right="0.17" top="0.43" bottom="0.27" header="0.5" footer="0.3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tabColor indexed="11"/>
  </sheetPr>
  <dimension ref="A1:N25"/>
  <sheetViews>
    <sheetView tabSelected="1" workbookViewId="0" topLeftCell="A4">
      <selection activeCell="L13" activeCellId="1" sqref="G17 L13"/>
    </sheetView>
  </sheetViews>
  <sheetFormatPr defaultColWidth="9.00390625" defaultRowHeight="25.5" customHeight="1"/>
  <cols>
    <col min="1" max="1" width="9.50390625" style="2" customWidth="1"/>
    <col min="2" max="2" width="15.00390625" style="2" customWidth="1"/>
    <col min="3" max="3" width="14.50390625" style="98" customWidth="1"/>
    <col min="4" max="4" width="12.25390625" style="3" customWidth="1"/>
    <col min="5" max="5" width="18.25390625" style="3" customWidth="1"/>
    <col min="6" max="6" width="16.375" style="3" customWidth="1"/>
    <col min="7" max="7" width="16.375" style="2" customWidth="1"/>
    <col min="8" max="8" width="10.50390625" style="2" customWidth="1"/>
    <col min="9" max="9" width="9.00390625" style="2" customWidth="1"/>
    <col min="10" max="10" width="9.00390625" style="2" hidden="1" customWidth="1"/>
    <col min="11" max="11" width="9.00390625" style="2" customWidth="1"/>
    <col min="12" max="12" width="6.50390625" style="2" customWidth="1"/>
    <col min="13" max="13" width="5.375" style="2" customWidth="1"/>
    <col min="14" max="14" width="5.625" style="2" customWidth="1"/>
    <col min="15" max="16384" width="9.00390625" style="2" customWidth="1"/>
  </cols>
  <sheetData>
    <row r="1" spans="1:8" ht="25.5" customHeight="1">
      <c r="A1" s="108" t="s">
        <v>528</v>
      </c>
      <c r="B1" s="108"/>
      <c r="C1" s="108"/>
      <c r="D1" s="108"/>
      <c r="E1" s="108"/>
      <c r="F1" s="108"/>
      <c r="G1" s="108"/>
      <c r="H1" s="108"/>
    </row>
    <row r="3" spans="1:8" s="1" customFormat="1" ht="25.5" customHeight="1">
      <c r="A3" s="5" t="s">
        <v>4</v>
      </c>
      <c r="B3" s="5" t="s">
        <v>490</v>
      </c>
      <c r="C3" s="27" t="s">
        <v>491</v>
      </c>
      <c r="D3" s="6" t="s">
        <v>492</v>
      </c>
      <c r="E3" s="6" t="s">
        <v>529</v>
      </c>
      <c r="F3" s="6" t="s">
        <v>493</v>
      </c>
      <c r="G3" s="5" t="s">
        <v>494</v>
      </c>
      <c r="H3" s="5" t="s">
        <v>521</v>
      </c>
    </row>
    <row r="4" spans="1:13" s="1" customFormat="1" ht="25.5" customHeight="1">
      <c r="A4" s="5">
        <v>1</v>
      </c>
      <c r="B4" s="5" t="s">
        <v>495</v>
      </c>
      <c r="C4" s="56">
        <v>2</v>
      </c>
      <c r="D4" s="6">
        <f>'西河'!A6</f>
        <v>2</v>
      </c>
      <c r="E4" s="7">
        <f>'西河'!M6</f>
        <v>644355.79</v>
      </c>
      <c r="F4" s="7">
        <f>'西河'!N6</f>
        <v>398257.5</v>
      </c>
      <c r="G4" s="105">
        <f>'西河'!O6</f>
        <v>238954.5</v>
      </c>
      <c r="H4" s="5"/>
      <c r="I4" s="11"/>
      <c r="M4" s="12"/>
    </row>
    <row r="5" spans="1:13" s="1" customFormat="1" ht="25.5" customHeight="1">
      <c r="A5" s="5">
        <v>2</v>
      </c>
      <c r="B5" s="5" t="s">
        <v>496</v>
      </c>
      <c r="C5" s="56">
        <v>1</v>
      </c>
      <c r="D5" s="6">
        <v>0</v>
      </c>
      <c r="E5" s="7">
        <v>0</v>
      </c>
      <c r="F5" s="7">
        <f>'文峰'!N5</f>
        <v>0</v>
      </c>
      <c r="G5" s="105">
        <f>'文峰'!O5</f>
        <v>0</v>
      </c>
      <c r="H5" s="5"/>
      <c r="I5" s="11"/>
      <c r="M5" s="12"/>
    </row>
    <row r="6" spans="1:13" s="1" customFormat="1" ht="25.5" customHeight="1">
      <c r="A6" s="5">
        <v>3</v>
      </c>
      <c r="B6" s="5" t="s">
        <v>497</v>
      </c>
      <c r="C6" s="56">
        <v>2</v>
      </c>
      <c r="D6" s="6">
        <f>'辰北'!A5</f>
        <v>1</v>
      </c>
      <c r="E6" s="7">
        <f>'辰北'!M5</f>
        <v>270487</v>
      </c>
      <c r="F6" s="7">
        <f>'辰北'!N5</f>
        <v>147576</v>
      </c>
      <c r="G6" s="105">
        <f>'辰北'!O5</f>
        <v>88545.59999999999</v>
      </c>
      <c r="H6" s="5"/>
      <c r="I6" s="11"/>
      <c r="M6" s="12"/>
    </row>
    <row r="7" spans="1:13" s="1" customFormat="1" ht="25.5" customHeight="1">
      <c r="A7" s="5">
        <v>4</v>
      </c>
      <c r="B7" s="5" t="s">
        <v>48</v>
      </c>
      <c r="C7" s="56">
        <v>13</v>
      </c>
      <c r="D7" s="6">
        <f>'贾家庄'!A13</f>
        <v>9</v>
      </c>
      <c r="E7" s="7">
        <f>'贾家庄'!M13</f>
        <v>2516820.2800000003</v>
      </c>
      <c r="F7" s="7">
        <f>'贾家庄'!N13</f>
        <v>1026990</v>
      </c>
      <c r="G7" s="105">
        <f>'贾家庄'!O13</f>
        <v>616194</v>
      </c>
      <c r="H7" s="5"/>
      <c r="I7" s="11"/>
      <c r="M7" s="12"/>
    </row>
    <row r="8" spans="1:13" s="1" customFormat="1" ht="25.5" customHeight="1">
      <c r="A8" s="5">
        <v>5</v>
      </c>
      <c r="B8" s="5" t="s">
        <v>125</v>
      </c>
      <c r="C8" s="56">
        <v>17</v>
      </c>
      <c r="D8" s="6">
        <f>'冀村'!A19</f>
        <v>15</v>
      </c>
      <c r="E8" s="7">
        <f>'冀村'!M19</f>
        <v>4179648.95</v>
      </c>
      <c r="F8" s="7">
        <f>'冀村'!N19</f>
        <v>2493819.6</v>
      </c>
      <c r="G8" s="105">
        <f>'冀村'!O19</f>
        <v>1496291.76</v>
      </c>
      <c r="H8" s="5"/>
      <c r="I8" s="11"/>
      <c r="M8" s="12"/>
    </row>
    <row r="9" spans="1:13" s="1" customFormat="1" ht="25.5" customHeight="1">
      <c r="A9" s="5">
        <v>6</v>
      </c>
      <c r="B9" s="5" t="s">
        <v>498</v>
      </c>
      <c r="C9" s="56">
        <v>12</v>
      </c>
      <c r="D9" s="6">
        <f>'肖家庄'!A15</f>
        <v>11</v>
      </c>
      <c r="E9" s="7">
        <f>'肖家庄'!M15</f>
        <v>3130068.0500000003</v>
      </c>
      <c r="F9" s="7">
        <f>'肖家庄'!N15</f>
        <v>1552169.5999999999</v>
      </c>
      <c r="G9" s="105">
        <f>'肖家庄'!O15</f>
        <v>931301.76</v>
      </c>
      <c r="H9" s="5"/>
      <c r="I9" s="11"/>
      <c r="M9" s="12"/>
    </row>
    <row r="10" spans="1:13" s="1" customFormat="1" ht="25.5" customHeight="1">
      <c r="A10" s="5">
        <v>7</v>
      </c>
      <c r="B10" s="5" t="s">
        <v>499</v>
      </c>
      <c r="C10" s="56">
        <v>12</v>
      </c>
      <c r="D10" s="6">
        <f>'演武'!A14</f>
        <v>10</v>
      </c>
      <c r="E10" s="7">
        <f>'演武'!M14</f>
        <v>2713213.0400000005</v>
      </c>
      <c r="F10" s="7">
        <f>'演武'!N14</f>
        <v>1526990</v>
      </c>
      <c r="G10" s="105">
        <f>'演武'!O14</f>
        <v>916194.0000000001</v>
      </c>
      <c r="H10" s="5"/>
      <c r="I10" s="11"/>
      <c r="M10" s="12"/>
    </row>
    <row r="11" spans="1:13" s="1" customFormat="1" ht="25.5" customHeight="1">
      <c r="A11" s="5">
        <v>8</v>
      </c>
      <c r="B11" s="5" t="s">
        <v>500</v>
      </c>
      <c r="C11" s="56">
        <v>5</v>
      </c>
      <c r="D11" s="6">
        <f>'阳城'!A9</f>
        <v>5</v>
      </c>
      <c r="E11" s="7">
        <f>'阳城'!M9</f>
        <v>1483020.22</v>
      </c>
      <c r="F11" s="7">
        <f>'阳城'!N9</f>
        <v>1045070.77</v>
      </c>
      <c r="G11" s="105">
        <f>'阳城'!O9</f>
        <v>627042.462</v>
      </c>
      <c r="H11" s="5"/>
      <c r="I11" s="11"/>
      <c r="M11" s="12"/>
    </row>
    <row r="12" spans="1:13" s="1" customFormat="1" ht="25.5" customHeight="1">
      <c r="A12" s="5">
        <v>9</v>
      </c>
      <c r="B12" s="5" t="s">
        <v>501</v>
      </c>
      <c r="C12" s="56">
        <v>17</v>
      </c>
      <c r="D12" s="6">
        <f>'三泉'!A19</f>
        <v>15</v>
      </c>
      <c r="E12" s="7">
        <f>'三泉'!M19</f>
        <v>3847934</v>
      </c>
      <c r="F12" s="7">
        <f>'三泉'!N19</f>
        <v>2164021</v>
      </c>
      <c r="G12" s="105">
        <f>'三泉'!O19</f>
        <v>1298412.6</v>
      </c>
      <c r="H12" s="5"/>
      <c r="I12" s="11"/>
      <c r="M12" s="12"/>
    </row>
    <row r="13" spans="1:13" s="1" customFormat="1" ht="25.5" customHeight="1">
      <c r="A13" s="5">
        <v>10</v>
      </c>
      <c r="B13" s="5" t="s">
        <v>502</v>
      </c>
      <c r="C13" s="56">
        <v>18</v>
      </c>
      <c r="D13" s="6">
        <f>'石庄'!A20</f>
        <v>16</v>
      </c>
      <c r="E13" s="7">
        <f>'石庄'!M20</f>
        <v>4471845</v>
      </c>
      <c r="F13" s="7">
        <f>'石庄'!N20</f>
        <v>2515024</v>
      </c>
      <c r="G13" s="105">
        <f>'石庄'!O20</f>
        <v>1509014.4</v>
      </c>
      <c r="H13" s="5"/>
      <c r="I13" s="11"/>
      <c r="M13" s="12"/>
    </row>
    <row r="14" spans="1:13" s="1" customFormat="1" ht="25.5" customHeight="1">
      <c r="A14" s="5">
        <v>11</v>
      </c>
      <c r="B14" s="5" t="s">
        <v>503</v>
      </c>
      <c r="C14" s="56">
        <v>19</v>
      </c>
      <c r="D14" s="6">
        <f>'杨家庄'!A19</f>
        <v>15</v>
      </c>
      <c r="E14" s="7">
        <f>'杨家庄'!M19</f>
        <v>3662874.3200000003</v>
      </c>
      <c r="F14" s="7">
        <f>'杨家庄'!N19</f>
        <v>2387850</v>
      </c>
      <c r="G14" s="105">
        <f>'杨家庄'!O19</f>
        <v>1432710</v>
      </c>
      <c r="H14" s="5"/>
      <c r="I14" s="11"/>
      <c r="M14" s="12"/>
    </row>
    <row r="15" spans="1:13" s="1" customFormat="1" ht="25.5" customHeight="1">
      <c r="A15" s="5">
        <v>12</v>
      </c>
      <c r="B15" s="5" t="s">
        <v>434</v>
      </c>
      <c r="C15" s="56">
        <v>21</v>
      </c>
      <c r="D15" s="6">
        <f>'栗家庄'!A21</f>
        <v>17</v>
      </c>
      <c r="E15" s="7">
        <f>'栗家庄'!M21</f>
        <v>4449931</v>
      </c>
      <c r="F15" s="7">
        <f>'栗家庄'!N21</f>
        <v>2269815.5</v>
      </c>
      <c r="G15" s="105">
        <f>'栗家庄'!O21</f>
        <v>1361889.3</v>
      </c>
      <c r="H15" s="5"/>
      <c r="I15" s="11"/>
      <c r="M15" s="12"/>
    </row>
    <row r="16" spans="1:13" s="1" customFormat="1" ht="25.5" customHeight="1">
      <c r="A16" s="5">
        <v>13</v>
      </c>
      <c r="B16" s="5" t="s">
        <v>504</v>
      </c>
      <c r="C16" s="56">
        <v>21</v>
      </c>
      <c r="D16" s="6">
        <f>'峪道河'!A21</f>
        <v>17</v>
      </c>
      <c r="E16" s="7">
        <f>'峪道河'!M21</f>
        <v>4307661.87</v>
      </c>
      <c r="F16" s="7">
        <f>'峪道河'!N21</f>
        <v>2816970.76</v>
      </c>
      <c r="G16" s="105">
        <f>'峪道河'!O21</f>
        <v>1690182.456</v>
      </c>
      <c r="H16" s="5"/>
      <c r="I16" s="11"/>
      <c r="M16" s="12"/>
    </row>
    <row r="17" spans="1:14" s="1" customFormat="1" ht="25.5" customHeight="1">
      <c r="A17" s="5"/>
      <c r="B17" s="5" t="s">
        <v>31</v>
      </c>
      <c r="C17" s="27">
        <f>SUM(C4:C16)</f>
        <v>160</v>
      </c>
      <c r="D17" s="6">
        <f>SUM(D4:D16)</f>
        <v>133</v>
      </c>
      <c r="E17" s="7">
        <f>SUM(E4:E16)</f>
        <v>35677859.52</v>
      </c>
      <c r="F17" s="7">
        <f>SUM(F4:F16)</f>
        <v>20344554.729999997</v>
      </c>
      <c r="G17" s="7">
        <f>SUM(G4:G16)</f>
        <v>12206732.838000001</v>
      </c>
      <c r="H17" s="5"/>
      <c r="I17" s="11"/>
      <c r="M17" s="13"/>
      <c r="N17" s="13"/>
    </row>
    <row r="18" spans="3:6" s="1" customFormat="1" ht="25.5" customHeight="1">
      <c r="C18" s="82"/>
      <c r="E18" s="3"/>
      <c r="F18" s="3"/>
    </row>
    <row r="19" spans="3:6" s="1" customFormat="1" ht="25.5" customHeight="1">
      <c r="C19" s="82"/>
      <c r="E19" s="3"/>
      <c r="F19" s="3"/>
    </row>
    <row r="20" spans="2:3" ht="25.5" customHeight="1">
      <c r="B20" s="8"/>
      <c r="C20" s="102"/>
    </row>
    <row r="21" spans="1:10" ht="25.5" customHeight="1">
      <c r="A21" s="8"/>
      <c r="B21" s="8"/>
      <c r="C21" s="102"/>
      <c r="G21" s="8"/>
      <c r="H21" s="8"/>
      <c r="I21" s="8"/>
      <c r="J21" s="8"/>
    </row>
    <row r="22" spans="1:2" ht="25.5" customHeight="1">
      <c r="A22" s="8"/>
      <c r="B22" s="8"/>
    </row>
    <row r="23" spans="2:3" ht="25.5" customHeight="1">
      <c r="B23" s="8"/>
      <c r="C23" s="102"/>
    </row>
    <row r="24" spans="2:3" ht="25.5" customHeight="1">
      <c r="B24" s="8"/>
      <c r="C24" s="102"/>
    </row>
    <row r="25" spans="2:6" ht="25.5" customHeight="1">
      <c r="B25" s="9"/>
      <c r="C25" s="103"/>
      <c r="D25" s="10"/>
      <c r="E25" s="10"/>
      <c r="F25" s="10"/>
    </row>
  </sheetData>
  <sheetProtection/>
  <mergeCells count="1">
    <mergeCell ref="A1:H1"/>
  </mergeCells>
  <printOptions/>
  <pageMargins left="1.22" right="0.36" top="0.58" bottom="0.43" header="0.5" footer="0.5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F21"/>
  <sheetViews>
    <sheetView workbookViewId="0" topLeftCell="A13">
      <selection activeCell="D25" sqref="D25"/>
    </sheetView>
  </sheetViews>
  <sheetFormatPr defaultColWidth="9.00390625" defaultRowHeight="14.25"/>
  <cols>
    <col min="1" max="1" width="11.125" style="2" customWidth="1"/>
    <col min="2" max="2" width="16.625" style="2" customWidth="1"/>
    <col min="3" max="3" width="18.00390625" style="2" customWidth="1"/>
    <col min="4" max="6" width="17.75390625" style="3" customWidth="1"/>
    <col min="7" max="16384" width="9.00390625" style="2" customWidth="1"/>
  </cols>
  <sheetData>
    <row r="1" spans="1:6" ht="40.5" customHeight="1">
      <c r="A1" s="4" t="s">
        <v>505</v>
      </c>
      <c r="B1" s="4"/>
      <c r="C1" s="4"/>
      <c r="D1" s="4"/>
      <c r="E1" s="4"/>
      <c r="F1" s="4"/>
    </row>
    <row r="3" spans="1:6" s="1" customFormat="1" ht="30" customHeight="1">
      <c r="A3" s="5" t="s">
        <v>4</v>
      </c>
      <c r="B3" s="5" t="s">
        <v>490</v>
      </c>
      <c r="C3" s="5" t="s">
        <v>506</v>
      </c>
      <c r="D3" s="6" t="s">
        <v>507</v>
      </c>
      <c r="E3" s="6" t="s">
        <v>508</v>
      </c>
      <c r="F3" s="6" t="s">
        <v>509</v>
      </c>
    </row>
    <row r="4" spans="1:6" s="1" customFormat="1" ht="24.75" customHeight="1">
      <c r="A4" s="5">
        <v>1</v>
      </c>
      <c r="B4" s="5" t="s">
        <v>495</v>
      </c>
      <c r="C4" s="5"/>
      <c r="D4" s="6"/>
      <c r="E4" s="6"/>
      <c r="F4" s="6"/>
    </row>
    <row r="5" spans="1:6" s="1" customFormat="1" ht="24.75" customHeight="1">
      <c r="A5" s="5">
        <v>2</v>
      </c>
      <c r="B5" s="5" t="s">
        <v>510</v>
      </c>
      <c r="C5" s="5"/>
      <c r="D5" s="6"/>
      <c r="E5" s="6"/>
      <c r="F5" s="6"/>
    </row>
    <row r="6" spans="1:6" s="1" customFormat="1" ht="24.75" customHeight="1">
      <c r="A6" s="5">
        <v>3</v>
      </c>
      <c r="B6" s="5" t="s">
        <v>496</v>
      </c>
      <c r="C6" s="5"/>
      <c r="D6" s="6"/>
      <c r="E6" s="6"/>
      <c r="F6" s="6"/>
    </row>
    <row r="7" spans="1:6" s="1" customFormat="1" ht="24.75" customHeight="1">
      <c r="A7" s="5">
        <v>4</v>
      </c>
      <c r="B7" s="5" t="s">
        <v>497</v>
      </c>
      <c r="C7" s="5"/>
      <c r="D7" s="6"/>
      <c r="E7" s="6"/>
      <c r="F7" s="6"/>
    </row>
    <row r="8" spans="1:6" s="1" customFormat="1" ht="24.75" customHeight="1">
      <c r="A8" s="5">
        <v>5</v>
      </c>
      <c r="B8" s="5" t="s">
        <v>48</v>
      </c>
      <c r="C8" s="5"/>
      <c r="D8" s="6"/>
      <c r="E8" s="6"/>
      <c r="F8" s="6"/>
    </row>
    <row r="9" spans="1:6" s="1" customFormat="1" ht="24.75" customHeight="1">
      <c r="A9" s="5">
        <v>6</v>
      </c>
      <c r="B9" s="5" t="s">
        <v>511</v>
      </c>
      <c r="C9" s="5"/>
      <c r="D9" s="6"/>
      <c r="E9" s="6"/>
      <c r="F9" s="6"/>
    </row>
    <row r="10" spans="1:6" s="1" customFormat="1" ht="24.75" customHeight="1">
      <c r="A10" s="5">
        <v>7</v>
      </c>
      <c r="B10" s="5" t="s">
        <v>125</v>
      </c>
      <c r="C10" s="5"/>
      <c r="D10" s="6"/>
      <c r="E10" s="6"/>
      <c r="F10" s="6"/>
    </row>
    <row r="11" spans="1:6" s="1" customFormat="1" ht="24.75" customHeight="1">
      <c r="A11" s="5">
        <v>8</v>
      </c>
      <c r="B11" s="5" t="s">
        <v>498</v>
      </c>
      <c r="C11" s="5"/>
      <c r="D11" s="6"/>
      <c r="E11" s="6"/>
      <c r="F11" s="6"/>
    </row>
    <row r="12" spans="1:6" s="1" customFormat="1" ht="24.75" customHeight="1">
      <c r="A12" s="5">
        <v>9</v>
      </c>
      <c r="B12" s="5" t="s">
        <v>499</v>
      </c>
      <c r="C12" s="5"/>
      <c r="D12" s="6"/>
      <c r="E12" s="6"/>
      <c r="F12" s="6"/>
    </row>
    <row r="13" spans="1:6" s="1" customFormat="1" ht="24.75" customHeight="1">
      <c r="A13" s="5">
        <v>10</v>
      </c>
      <c r="B13" s="5" t="s">
        <v>500</v>
      </c>
      <c r="C13" s="5"/>
      <c r="D13" s="6"/>
      <c r="E13" s="6"/>
      <c r="F13" s="6"/>
    </row>
    <row r="14" spans="1:6" s="1" customFormat="1" ht="24.75" customHeight="1">
      <c r="A14" s="5">
        <v>11</v>
      </c>
      <c r="B14" s="5" t="s">
        <v>501</v>
      </c>
      <c r="C14" s="5"/>
      <c r="D14" s="6"/>
      <c r="E14" s="6"/>
      <c r="F14" s="6"/>
    </row>
    <row r="15" spans="1:6" s="1" customFormat="1" ht="24.75" customHeight="1">
      <c r="A15" s="5">
        <v>12</v>
      </c>
      <c r="B15" s="5" t="s">
        <v>502</v>
      </c>
      <c r="C15" s="5"/>
      <c r="D15" s="6"/>
      <c r="E15" s="6"/>
      <c r="F15" s="6"/>
    </row>
    <row r="16" spans="1:6" s="1" customFormat="1" ht="24.75" customHeight="1">
      <c r="A16" s="5">
        <v>13</v>
      </c>
      <c r="B16" s="5" t="s">
        <v>503</v>
      </c>
      <c r="C16" s="5"/>
      <c r="D16" s="6"/>
      <c r="E16" s="6"/>
      <c r="F16" s="6"/>
    </row>
    <row r="17" spans="1:6" s="1" customFormat="1" ht="24.75" customHeight="1">
      <c r="A17" s="5">
        <v>14</v>
      </c>
      <c r="B17" s="5" t="s">
        <v>434</v>
      </c>
      <c r="C17" s="5"/>
      <c r="D17" s="6"/>
      <c r="E17" s="6"/>
      <c r="F17" s="6"/>
    </row>
    <row r="18" spans="1:6" s="1" customFormat="1" ht="24.75" customHeight="1">
      <c r="A18" s="5">
        <v>15</v>
      </c>
      <c r="B18" s="5" t="s">
        <v>504</v>
      </c>
      <c r="C18" s="5"/>
      <c r="D18" s="6"/>
      <c r="E18" s="6"/>
      <c r="F18" s="6"/>
    </row>
    <row r="19" spans="1:6" s="1" customFormat="1" ht="24.75" customHeight="1">
      <c r="A19" s="5"/>
      <c r="B19" s="5" t="s">
        <v>31</v>
      </c>
      <c r="C19" s="6"/>
      <c r="D19" s="6"/>
      <c r="E19" s="6"/>
      <c r="F19" s="6"/>
    </row>
    <row r="20" spans="4:6" s="1" customFormat="1" ht="30" customHeight="1">
      <c r="D20" s="3"/>
      <c r="E20" s="3"/>
      <c r="F20" s="3"/>
    </row>
    <row r="21" spans="4:6" s="1" customFormat="1" ht="30" customHeight="1">
      <c r="D21" s="3"/>
      <c r="E21" s="3"/>
      <c r="F21" s="3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/>
  <printOptions/>
  <pageMargins left="1.03" right="0.36" top="0.58" bottom="0.43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6"/>
  <sheetViews>
    <sheetView workbookViewId="0" topLeftCell="A1">
      <pane xSplit="2" ySplit="1" topLeftCell="J2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4.25"/>
  <cols>
    <col min="1" max="1" width="3.875" style="2" customWidth="1"/>
    <col min="2" max="2" width="10.375" style="2" customWidth="1"/>
    <col min="3" max="8" width="6.625" style="2" hidden="1" customWidth="1"/>
    <col min="9" max="9" width="8.125" style="2" hidden="1" customWidth="1"/>
    <col min="10" max="10" width="10.875" style="3" customWidth="1"/>
    <col min="11" max="11" width="15.375" style="3" customWidth="1"/>
    <col min="12" max="12" width="36.25390625" style="19" customWidth="1"/>
    <col min="13" max="13" width="10.75390625" style="2" customWidth="1"/>
    <col min="14" max="14" width="13.25390625" style="2" customWidth="1"/>
    <col min="15" max="15" width="11.00390625" style="2" customWidth="1"/>
    <col min="16" max="16" width="9.00390625" style="3" hidden="1" customWidth="1"/>
    <col min="17" max="17" width="5.625" style="2" hidden="1" customWidth="1"/>
    <col min="18" max="18" width="5.75390625" style="2" hidden="1" customWidth="1"/>
    <col min="19" max="16384" width="9.00390625" style="2" customWidth="1"/>
  </cols>
  <sheetData>
    <row r="1" spans="1:19" ht="34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68"/>
    </row>
    <row r="2" spans="1:19" ht="13.5">
      <c r="A2" s="2" t="s">
        <v>35</v>
      </c>
      <c r="P2" s="3" t="s">
        <v>3</v>
      </c>
      <c r="S2" s="68"/>
    </row>
    <row r="3" spans="1:19" s="1" customFormat="1" ht="39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25" t="s">
        <v>19</v>
      </c>
      <c r="Q3" s="6" t="s">
        <v>20</v>
      </c>
      <c r="R3" s="25" t="s">
        <v>19</v>
      </c>
      <c r="S3" s="5" t="s">
        <v>516</v>
      </c>
    </row>
    <row r="4" spans="1:19" s="15" customFormat="1" ht="49.5" customHeight="1">
      <c r="A4" s="20">
        <v>1</v>
      </c>
      <c r="B4" s="21" t="s">
        <v>36</v>
      </c>
      <c r="C4" s="20">
        <v>190</v>
      </c>
      <c r="D4" s="20">
        <v>520</v>
      </c>
      <c r="E4" s="20">
        <v>435</v>
      </c>
      <c r="F4" s="20">
        <v>6525</v>
      </c>
      <c r="G4" s="20">
        <v>235</v>
      </c>
      <c r="H4" s="20">
        <v>35250</v>
      </c>
      <c r="I4" s="20"/>
      <c r="J4" s="20" t="s">
        <v>37</v>
      </c>
      <c r="K4" s="20" t="s">
        <v>38</v>
      </c>
      <c r="L4" s="30" t="s">
        <v>39</v>
      </c>
      <c r="M4" s="20">
        <v>299097.34</v>
      </c>
      <c r="N4" s="31">
        <f>(103*(107+18)+150*(140+40)+130*(175+45)+116*(230+55)+63*(290+65)+23*1000+(103+150+130+116+63)*1.2*60)*0</f>
        <v>0</v>
      </c>
      <c r="O4" s="20"/>
      <c r="P4" s="46" t="s">
        <v>25</v>
      </c>
      <c r="Q4" s="39" t="s">
        <v>26</v>
      </c>
      <c r="R4" s="66" t="s">
        <v>25</v>
      </c>
      <c r="S4" s="20" t="s">
        <v>517</v>
      </c>
    </row>
    <row r="5" spans="1:19" s="17" customFormat="1" ht="39" customHeight="1">
      <c r="A5" s="22">
        <v>1</v>
      </c>
      <c r="B5" s="6" t="s">
        <v>31</v>
      </c>
      <c r="C5" s="6">
        <f aca="true" t="shared" si="0" ref="C5:H5">SUM(C4:C4)</f>
        <v>190</v>
      </c>
      <c r="D5" s="6">
        <f t="shared" si="0"/>
        <v>520</v>
      </c>
      <c r="E5" s="6">
        <f t="shared" si="0"/>
        <v>435</v>
      </c>
      <c r="F5" s="6">
        <f t="shared" si="0"/>
        <v>6525</v>
      </c>
      <c r="G5" s="6">
        <f t="shared" si="0"/>
        <v>235</v>
      </c>
      <c r="H5" s="6">
        <f t="shared" si="0"/>
        <v>35250</v>
      </c>
      <c r="I5" s="6"/>
      <c r="J5" s="6"/>
      <c r="K5" s="6"/>
      <c r="L5" s="6"/>
      <c r="M5" s="6">
        <f>M4</f>
        <v>299097.34</v>
      </c>
      <c r="N5" s="6">
        <f>N4</f>
        <v>0</v>
      </c>
      <c r="O5" s="6">
        <f>O4</f>
        <v>0</v>
      </c>
      <c r="P5" s="29"/>
      <c r="Q5" s="5"/>
      <c r="R5" s="67"/>
      <c r="S5" s="5"/>
    </row>
    <row r="6" spans="1:16" s="18" customFormat="1" ht="15" customHeight="1">
      <c r="A6" s="18">
        <v>1</v>
      </c>
      <c r="B6" s="23" t="s">
        <v>32</v>
      </c>
      <c r="C6" s="23"/>
      <c r="D6" s="23"/>
      <c r="E6" s="23"/>
      <c r="F6" s="23"/>
      <c r="G6" s="23"/>
      <c r="H6" s="23"/>
      <c r="I6" s="23"/>
      <c r="J6" s="37"/>
      <c r="K6" s="23"/>
      <c r="L6" s="38"/>
      <c r="P6" s="37"/>
    </row>
    <row r="7" spans="1:16" s="1" customFormat="1" ht="15" customHeight="1">
      <c r="A7" s="18"/>
      <c r="B7" s="24" t="s">
        <v>33</v>
      </c>
      <c r="C7" s="24"/>
      <c r="D7" s="24"/>
      <c r="E7" s="24"/>
      <c r="F7" s="24"/>
      <c r="G7" s="24"/>
      <c r="H7" s="24"/>
      <c r="I7" s="24"/>
      <c r="J7" s="3"/>
      <c r="K7" s="24"/>
      <c r="L7" s="19"/>
      <c r="P7" s="3"/>
    </row>
    <row r="8" spans="1:16" s="1" customFormat="1" ht="15" customHeight="1">
      <c r="A8" s="18"/>
      <c r="B8" s="24" t="s">
        <v>34</v>
      </c>
      <c r="C8" s="24"/>
      <c r="D8" s="24"/>
      <c r="E8" s="24"/>
      <c r="F8" s="24"/>
      <c r="G8" s="24"/>
      <c r="H8" s="24"/>
      <c r="I8" s="24"/>
      <c r="J8" s="3"/>
      <c r="K8" s="24"/>
      <c r="L8" s="19"/>
      <c r="P8" s="3"/>
    </row>
    <row r="9" spans="1:16" s="1" customFormat="1" ht="30" customHeight="1">
      <c r="A9" s="18"/>
      <c r="J9" s="3"/>
      <c r="K9" s="3"/>
      <c r="L9" s="19"/>
      <c r="P9" s="3"/>
    </row>
    <row r="10" spans="1:16" s="1" customFormat="1" ht="30" customHeight="1">
      <c r="A10" s="18"/>
      <c r="J10" s="3"/>
      <c r="K10" s="3"/>
      <c r="L10" s="19"/>
      <c r="P10" s="3"/>
    </row>
    <row r="11" spans="1:16" s="1" customFormat="1" ht="30" customHeight="1">
      <c r="A11" s="18"/>
      <c r="J11" s="3"/>
      <c r="K11" s="3"/>
      <c r="L11" s="19"/>
      <c r="P11" s="3"/>
    </row>
    <row r="12" spans="1:16" s="1" customFormat="1" ht="30" customHeight="1">
      <c r="A12" s="18"/>
      <c r="J12" s="3"/>
      <c r="K12" s="3"/>
      <c r="L12" s="19"/>
      <c r="P12" s="3"/>
    </row>
    <row r="13" spans="1:16" s="1" customFormat="1" ht="30" customHeight="1">
      <c r="A13" s="18"/>
      <c r="J13" s="3"/>
      <c r="K13" s="3"/>
      <c r="L13" s="19"/>
      <c r="P13" s="3"/>
    </row>
    <row r="14" ht="30" customHeight="1">
      <c r="A14" s="18"/>
    </row>
    <row r="15" ht="30" customHeight="1">
      <c r="A15" s="18"/>
    </row>
    <row r="16" ht="30" customHeight="1">
      <c r="A16" s="18"/>
    </row>
    <row r="17" ht="30" customHeight="1">
      <c r="A17" s="18"/>
    </row>
    <row r="18" ht="30" customHeight="1">
      <c r="A18" s="18"/>
    </row>
    <row r="19" ht="30" customHeight="1">
      <c r="A19" s="1"/>
    </row>
    <row r="20" ht="30" customHeight="1">
      <c r="A20" s="1"/>
    </row>
    <row r="21" ht="30" customHeight="1">
      <c r="A21" s="1"/>
    </row>
    <row r="22" ht="30" customHeight="1">
      <c r="A22" s="1"/>
    </row>
    <row r="23" ht="30" customHeight="1">
      <c r="A23" s="1"/>
    </row>
    <row r="24" ht="30" customHeight="1">
      <c r="A24" s="1"/>
    </row>
    <row r="25" ht="30" customHeight="1">
      <c r="A25" s="1"/>
    </row>
    <row r="26" ht="30" customHeight="1">
      <c r="A26" s="1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</sheetData>
  <sheetProtection/>
  <mergeCells count="1">
    <mergeCell ref="A1:R1"/>
  </mergeCells>
  <printOptions/>
  <pageMargins left="0.96" right="0.17" top="0.43" bottom="0.27" header="0.5" footer="0.3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6"/>
  <sheetViews>
    <sheetView workbookViewId="0" topLeftCell="A1">
      <pane xSplit="2" ySplit="1" topLeftCell="J2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4.25"/>
  <cols>
    <col min="1" max="1" width="3.875" style="2" customWidth="1"/>
    <col min="2" max="2" width="6.625" style="2" customWidth="1"/>
    <col min="3" max="8" width="6.625" style="2" hidden="1" customWidth="1"/>
    <col min="9" max="9" width="8.125" style="2" hidden="1" customWidth="1"/>
    <col min="10" max="10" width="10.875" style="3" customWidth="1"/>
    <col min="11" max="11" width="15.375" style="3" customWidth="1"/>
    <col min="12" max="12" width="36.25390625" style="19" customWidth="1"/>
    <col min="13" max="13" width="10.75390625" style="2" customWidth="1"/>
    <col min="14" max="14" width="10.375" style="2" customWidth="1"/>
    <col min="15" max="15" width="11.875" style="2" customWidth="1"/>
    <col min="16" max="16" width="9.00390625" style="3" hidden="1" customWidth="1"/>
    <col min="17" max="17" width="5.625" style="2" hidden="1" customWidth="1"/>
    <col min="18" max="18" width="6.375" style="2" hidden="1" customWidth="1"/>
    <col min="19" max="19" width="10.125" style="2" customWidth="1"/>
    <col min="20" max="16384" width="9.00390625" style="2" customWidth="1"/>
  </cols>
  <sheetData>
    <row r="1" spans="1:18" ht="34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6" ht="13.5">
      <c r="A2" s="2" t="s">
        <v>40</v>
      </c>
      <c r="P2" s="3" t="s">
        <v>3</v>
      </c>
    </row>
    <row r="3" spans="1:19" s="1" customFormat="1" ht="39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25" t="s">
        <v>19</v>
      </c>
      <c r="Q3" s="6" t="s">
        <v>20</v>
      </c>
      <c r="R3" s="6" t="s">
        <v>19</v>
      </c>
      <c r="S3" s="5" t="s">
        <v>519</v>
      </c>
    </row>
    <row r="4" spans="1:19" s="16" customFormat="1" ht="13.5">
      <c r="A4" s="43">
        <v>1</v>
      </c>
      <c r="B4" s="43" t="s">
        <v>41</v>
      </c>
      <c r="C4" s="43">
        <v>638</v>
      </c>
      <c r="D4" s="43">
        <v>1706</v>
      </c>
      <c r="E4" s="43">
        <v>1410</v>
      </c>
      <c r="F4" s="43">
        <v>21150</v>
      </c>
      <c r="G4" s="43"/>
      <c r="H4" s="43"/>
      <c r="I4" s="43"/>
      <c r="J4" s="16" t="s">
        <v>42</v>
      </c>
      <c r="K4" s="43" t="s">
        <v>43</v>
      </c>
      <c r="L4" s="61" t="s">
        <v>44</v>
      </c>
      <c r="M4" s="43">
        <v>270487</v>
      </c>
      <c r="N4" s="43">
        <f>860*3*(7.2+50)</f>
        <v>147576</v>
      </c>
      <c r="O4" s="64">
        <f>N4*0.6</f>
        <v>88545.59999999999</v>
      </c>
      <c r="P4" s="62" t="s">
        <v>25</v>
      </c>
      <c r="Q4" s="40" t="s">
        <v>26</v>
      </c>
      <c r="R4" s="40" t="s">
        <v>25</v>
      </c>
      <c r="S4" s="5"/>
    </row>
    <row r="5" spans="1:19" s="17" customFormat="1" ht="39" customHeight="1">
      <c r="A5" s="22">
        <v>1</v>
      </c>
      <c r="B5" s="6" t="s">
        <v>31</v>
      </c>
      <c r="C5" s="6">
        <f>SUM(C4:C4)</f>
        <v>638</v>
      </c>
      <c r="D5" s="6">
        <f>SUM(D4:D4)</f>
        <v>1706</v>
      </c>
      <c r="E5" s="6">
        <f>SUM(E4:E4)</f>
        <v>1410</v>
      </c>
      <c r="F5" s="6">
        <f>SUM(F4:F4)</f>
        <v>21150</v>
      </c>
      <c r="G5" s="6"/>
      <c r="H5" s="6"/>
      <c r="I5" s="6"/>
      <c r="J5" s="6"/>
      <c r="K5" s="6"/>
      <c r="L5" s="47"/>
      <c r="M5" s="6">
        <f>SUM(M4:M4)</f>
        <v>270487</v>
      </c>
      <c r="N5" s="6">
        <f>SUM(N4:N4)</f>
        <v>147576</v>
      </c>
      <c r="O5" s="7">
        <f>SUM(O4:O4)</f>
        <v>88545.59999999999</v>
      </c>
      <c r="P5" s="29"/>
      <c r="Q5" s="5"/>
      <c r="R5" s="5"/>
      <c r="S5" s="5"/>
    </row>
    <row r="6" spans="2:16" s="18" customFormat="1" ht="15" customHeight="1">
      <c r="B6" s="23" t="s">
        <v>32</v>
      </c>
      <c r="C6" s="23"/>
      <c r="D6" s="23"/>
      <c r="E6" s="23"/>
      <c r="F6" s="23"/>
      <c r="G6" s="23"/>
      <c r="H6" s="23"/>
      <c r="I6" s="23"/>
      <c r="J6" s="37"/>
      <c r="K6" s="23"/>
      <c r="L6" s="38"/>
      <c r="P6" s="37"/>
    </row>
    <row r="7" spans="1:16" s="1" customFormat="1" ht="15" customHeight="1">
      <c r="A7" s="18"/>
      <c r="B7" s="24" t="s">
        <v>33</v>
      </c>
      <c r="C7" s="24"/>
      <c r="D7" s="24"/>
      <c r="E7" s="24"/>
      <c r="F7" s="24"/>
      <c r="G7" s="24"/>
      <c r="H7" s="24"/>
      <c r="I7" s="24"/>
      <c r="J7" s="3"/>
      <c r="K7" s="24"/>
      <c r="L7" s="19"/>
      <c r="P7" s="3"/>
    </row>
    <row r="8" spans="1:16" s="1" customFormat="1" ht="15" customHeight="1">
      <c r="A8" s="18"/>
      <c r="B8" s="24" t="s">
        <v>34</v>
      </c>
      <c r="C8" s="24"/>
      <c r="D8" s="24"/>
      <c r="E8" s="24"/>
      <c r="F8" s="24"/>
      <c r="G8" s="24"/>
      <c r="H8" s="24"/>
      <c r="I8" s="24"/>
      <c r="J8" s="3"/>
      <c r="K8" s="24"/>
      <c r="L8" s="19"/>
      <c r="P8" s="3"/>
    </row>
    <row r="9" spans="1:16" s="1" customFormat="1" ht="30" customHeight="1">
      <c r="A9" s="18"/>
      <c r="J9" s="3"/>
      <c r="K9" s="3"/>
      <c r="L9" s="19"/>
      <c r="P9" s="3"/>
    </row>
    <row r="10" spans="1:16" s="1" customFormat="1" ht="30" customHeight="1">
      <c r="A10" s="18"/>
      <c r="J10" s="3"/>
      <c r="K10" s="3"/>
      <c r="L10" s="19"/>
      <c r="P10" s="3"/>
    </row>
    <row r="11" spans="1:16" s="1" customFormat="1" ht="30" customHeight="1">
      <c r="A11" s="18"/>
      <c r="J11" s="3"/>
      <c r="K11" s="3"/>
      <c r="L11" s="19"/>
      <c r="P11" s="3"/>
    </row>
    <row r="12" spans="1:16" s="1" customFormat="1" ht="30" customHeight="1">
      <c r="A12" s="18"/>
      <c r="J12" s="3"/>
      <c r="K12" s="3"/>
      <c r="L12" s="19"/>
      <c r="P12" s="3"/>
    </row>
    <row r="13" spans="1:16" s="1" customFormat="1" ht="30" customHeight="1">
      <c r="A13" s="18"/>
      <c r="J13" s="3"/>
      <c r="K13" s="3"/>
      <c r="L13" s="19"/>
      <c r="P13" s="3"/>
    </row>
    <row r="14" ht="30" customHeight="1">
      <c r="A14" s="18"/>
    </row>
    <row r="15" ht="30" customHeight="1">
      <c r="A15" s="18"/>
    </row>
    <row r="16" ht="30" customHeight="1">
      <c r="A16" s="18"/>
    </row>
    <row r="17" ht="30" customHeight="1">
      <c r="A17" s="18"/>
    </row>
    <row r="18" ht="30" customHeight="1">
      <c r="A18" s="18"/>
    </row>
    <row r="19" ht="30" customHeight="1">
      <c r="A19" s="1"/>
    </row>
    <row r="20" ht="30" customHeight="1">
      <c r="A20" s="1"/>
    </row>
    <row r="21" ht="30" customHeight="1">
      <c r="A21" s="1"/>
    </row>
    <row r="22" ht="30" customHeight="1">
      <c r="A22" s="1"/>
    </row>
    <row r="23" ht="30" customHeight="1">
      <c r="A23" s="1"/>
    </row>
    <row r="24" ht="30" customHeight="1">
      <c r="A24" s="1"/>
    </row>
    <row r="25" ht="30" customHeight="1">
      <c r="A25" s="1"/>
    </row>
    <row r="26" ht="30" customHeight="1">
      <c r="A26" s="1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</sheetData>
  <sheetProtection/>
  <mergeCells count="1">
    <mergeCell ref="A1:R1"/>
  </mergeCells>
  <printOptions/>
  <pageMargins left="1.04" right="0.17" top="0.43" bottom="0.27" header="0.5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34"/>
  <sheetViews>
    <sheetView workbookViewId="0" topLeftCell="A1">
      <pane xSplit="2" ySplit="1" topLeftCell="J2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4.25"/>
  <cols>
    <col min="1" max="1" width="3.875" style="2" customWidth="1"/>
    <col min="2" max="2" width="6.625" style="2" customWidth="1"/>
    <col min="3" max="8" width="6.625" style="2" hidden="1" customWidth="1"/>
    <col min="9" max="9" width="8.125" style="2" hidden="1" customWidth="1"/>
    <col min="10" max="10" width="10.875" style="3" customWidth="1"/>
    <col min="11" max="11" width="15.375" style="3" customWidth="1"/>
    <col min="12" max="12" width="36.50390625" style="19" customWidth="1"/>
    <col min="13" max="13" width="10.75390625" style="2" customWidth="1"/>
    <col min="14" max="14" width="10.375" style="2" customWidth="1"/>
    <col min="15" max="15" width="9.625" style="2" customWidth="1"/>
    <col min="16" max="16" width="9.00390625" style="3" hidden="1" customWidth="1"/>
    <col min="17" max="17" width="5.625" style="2" hidden="1" customWidth="1"/>
    <col min="18" max="18" width="6.375" style="2" hidden="1" customWidth="1"/>
    <col min="19" max="19" width="10.00390625" style="2" customWidth="1"/>
    <col min="20" max="16384" width="9.00390625" style="2" customWidth="1"/>
  </cols>
  <sheetData>
    <row r="1" spans="1:18" ht="34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6" ht="13.5">
      <c r="A2" s="2" t="s">
        <v>47</v>
      </c>
      <c r="P2" s="3" t="s">
        <v>3</v>
      </c>
    </row>
    <row r="3" spans="1:19" s="1" customFormat="1" ht="39" customHeight="1">
      <c r="A3" s="49" t="s">
        <v>4</v>
      </c>
      <c r="B3" s="49" t="s">
        <v>5</v>
      </c>
      <c r="C3" s="49" t="s">
        <v>6</v>
      </c>
      <c r="D3" s="49" t="s">
        <v>7</v>
      </c>
      <c r="E3" s="49" t="s">
        <v>8</v>
      </c>
      <c r="F3" s="49" t="s">
        <v>9</v>
      </c>
      <c r="G3" s="49" t="s">
        <v>10</v>
      </c>
      <c r="H3" s="49" t="s">
        <v>11</v>
      </c>
      <c r="I3" s="49" t="s">
        <v>12</v>
      </c>
      <c r="J3" s="49" t="s">
        <v>13</v>
      </c>
      <c r="K3" s="49" t="s">
        <v>14</v>
      </c>
      <c r="L3" s="49" t="s">
        <v>15</v>
      </c>
      <c r="M3" s="49" t="s">
        <v>16</v>
      </c>
      <c r="N3" s="49" t="s">
        <v>17</v>
      </c>
      <c r="O3" s="49" t="s">
        <v>18</v>
      </c>
      <c r="P3" s="83" t="s">
        <v>19</v>
      </c>
      <c r="Q3" s="49" t="s">
        <v>20</v>
      </c>
      <c r="R3" s="49" t="s">
        <v>19</v>
      </c>
      <c r="S3" s="74" t="s">
        <v>516</v>
      </c>
    </row>
    <row r="4" spans="1:22" s="51" customFormat="1" ht="54" customHeight="1">
      <c r="A4" s="6">
        <v>1</v>
      </c>
      <c r="B4" s="6" t="s">
        <v>48</v>
      </c>
      <c r="C4" s="6">
        <v>720</v>
      </c>
      <c r="D4" s="6">
        <v>2700</v>
      </c>
      <c r="E4" s="6">
        <v>2400</v>
      </c>
      <c r="F4" s="6">
        <v>24000</v>
      </c>
      <c r="G4" s="6"/>
      <c r="H4" s="6"/>
      <c r="I4" s="6"/>
      <c r="J4" s="6" t="s">
        <v>49</v>
      </c>
      <c r="K4" s="6" t="s">
        <v>50</v>
      </c>
      <c r="L4" s="26" t="s">
        <v>51</v>
      </c>
      <c r="M4" s="6">
        <v>299800.28</v>
      </c>
      <c r="N4" s="6">
        <f>187*90+15*800+12000+2*800+120*200+319*400+20*1800+30*400</f>
        <v>242030</v>
      </c>
      <c r="O4" s="7">
        <f>N4*0.6</f>
        <v>145218</v>
      </c>
      <c r="P4" s="6"/>
      <c r="Q4" s="6"/>
      <c r="R4" s="6"/>
      <c r="S4" s="6"/>
      <c r="T4" s="37"/>
      <c r="U4" s="37"/>
      <c r="V4" s="37"/>
    </row>
    <row r="5" spans="1:19" s="1" customFormat="1" ht="24">
      <c r="A5" s="6">
        <v>2</v>
      </c>
      <c r="B5" s="27" t="s">
        <v>53</v>
      </c>
      <c r="C5" s="6">
        <v>396</v>
      </c>
      <c r="D5" s="6">
        <v>1042</v>
      </c>
      <c r="E5" s="6">
        <v>900</v>
      </c>
      <c r="F5" s="6">
        <v>9000</v>
      </c>
      <c r="G5" s="6"/>
      <c r="H5" s="6"/>
      <c r="I5" s="6"/>
      <c r="J5" s="6" t="s">
        <v>54</v>
      </c>
      <c r="K5" s="6" t="s">
        <v>55</v>
      </c>
      <c r="L5" s="26" t="s">
        <v>56</v>
      </c>
      <c r="M5" s="6">
        <v>296000</v>
      </c>
      <c r="N5" s="6">
        <f>(1400*3.5+2080*3)*4</f>
        <v>44560</v>
      </c>
      <c r="O5" s="7">
        <f aca="true" t="shared" si="0" ref="O5:O12">N5*0.6</f>
        <v>26736</v>
      </c>
      <c r="P5" s="29"/>
      <c r="Q5" s="5"/>
      <c r="R5" s="5"/>
      <c r="S5" s="5"/>
    </row>
    <row r="6" spans="1:19" s="15" customFormat="1" ht="13.5">
      <c r="A6" s="6">
        <v>3</v>
      </c>
      <c r="B6" s="6" t="s">
        <v>57</v>
      </c>
      <c r="C6" s="6">
        <v>723</v>
      </c>
      <c r="D6" s="6">
        <v>1968</v>
      </c>
      <c r="E6" s="6">
        <v>1600</v>
      </c>
      <c r="F6" s="6">
        <v>6400</v>
      </c>
      <c r="G6" s="6"/>
      <c r="H6" s="6"/>
      <c r="I6" s="6"/>
      <c r="J6" s="6" t="s">
        <v>58</v>
      </c>
      <c r="K6" s="6" t="s">
        <v>52</v>
      </c>
      <c r="L6" s="26" t="s">
        <v>59</v>
      </c>
      <c r="M6" s="6">
        <v>299000</v>
      </c>
      <c r="N6" s="6">
        <f>13*2*15*500</f>
        <v>195000</v>
      </c>
      <c r="O6" s="7">
        <f t="shared" si="0"/>
        <v>117000</v>
      </c>
      <c r="P6" s="32"/>
      <c r="Q6" s="39"/>
      <c r="R6" s="39"/>
      <c r="S6" s="39"/>
    </row>
    <row r="7" spans="1:19" s="15" customFormat="1" ht="13.5">
      <c r="A7" s="6">
        <v>4</v>
      </c>
      <c r="B7" s="6" t="s">
        <v>60</v>
      </c>
      <c r="C7" s="6">
        <v>91</v>
      </c>
      <c r="D7" s="6">
        <v>243</v>
      </c>
      <c r="E7" s="6">
        <v>200</v>
      </c>
      <c r="F7" s="6">
        <v>2000</v>
      </c>
      <c r="G7" s="6"/>
      <c r="H7" s="6"/>
      <c r="I7" s="6"/>
      <c r="J7" s="6" t="s">
        <v>22</v>
      </c>
      <c r="K7" s="6" t="s">
        <v>61</v>
      </c>
      <c r="L7" s="26" t="s">
        <v>62</v>
      </c>
      <c r="M7" s="6">
        <v>260750</v>
      </c>
      <c r="N7" s="6">
        <f>50*1800</f>
        <v>90000</v>
      </c>
      <c r="O7" s="7">
        <f t="shared" si="0"/>
        <v>54000</v>
      </c>
      <c r="P7" s="32"/>
      <c r="Q7" s="39"/>
      <c r="R7" s="39"/>
      <c r="S7" s="39"/>
    </row>
    <row r="8" spans="1:19" s="15" customFormat="1" ht="24">
      <c r="A8" s="6">
        <v>5</v>
      </c>
      <c r="B8" s="6" t="s">
        <v>63</v>
      </c>
      <c r="C8" s="16">
        <v>1010</v>
      </c>
      <c r="D8" s="6">
        <v>2780</v>
      </c>
      <c r="E8" s="6">
        <v>1560</v>
      </c>
      <c r="F8" s="6">
        <v>15600</v>
      </c>
      <c r="G8" s="6"/>
      <c r="H8" s="6"/>
      <c r="I8" s="6"/>
      <c r="J8" s="6" t="s">
        <v>22</v>
      </c>
      <c r="K8" s="6" t="s">
        <v>61</v>
      </c>
      <c r="L8" s="26" t="s">
        <v>64</v>
      </c>
      <c r="M8" s="6">
        <v>284300</v>
      </c>
      <c r="N8" s="6">
        <f>72*1800</f>
        <v>129600</v>
      </c>
      <c r="O8" s="7">
        <f t="shared" si="0"/>
        <v>77760</v>
      </c>
      <c r="P8" s="32"/>
      <c r="Q8" s="39"/>
      <c r="R8" s="39"/>
      <c r="S8" s="39"/>
    </row>
    <row r="9" spans="1:19" s="15" customFormat="1" ht="19.5" customHeight="1">
      <c r="A9" s="6">
        <v>6</v>
      </c>
      <c r="B9" s="6" t="s">
        <v>65</v>
      </c>
      <c r="C9" s="6">
        <v>480</v>
      </c>
      <c r="D9" s="6">
        <v>1210</v>
      </c>
      <c r="E9" s="6">
        <v>1000</v>
      </c>
      <c r="F9" s="6">
        <v>5000</v>
      </c>
      <c r="G9" s="6"/>
      <c r="H9" s="6"/>
      <c r="I9" s="6"/>
      <c r="J9" s="6" t="s">
        <v>22</v>
      </c>
      <c r="K9" s="6" t="s">
        <v>66</v>
      </c>
      <c r="L9" s="26" t="s">
        <v>67</v>
      </c>
      <c r="M9" s="6">
        <v>280000</v>
      </c>
      <c r="N9" s="6">
        <f>(90*15*10)*3</f>
        <v>40500</v>
      </c>
      <c r="O9" s="7">
        <f t="shared" si="0"/>
        <v>24300</v>
      </c>
      <c r="P9" s="32"/>
      <c r="Q9" s="39"/>
      <c r="R9" s="39"/>
      <c r="S9" s="39"/>
    </row>
    <row r="10" spans="1:19" s="1" customFormat="1" ht="27">
      <c r="A10" s="6">
        <v>7</v>
      </c>
      <c r="B10" s="27" t="s">
        <v>68</v>
      </c>
      <c r="C10" s="6">
        <v>488</v>
      </c>
      <c r="D10" s="6">
        <v>1469</v>
      </c>
      <c r="E10" s="6">
        <v>1210</v>
      </c>
      <c r="F10" s="6">
        <v>12100</v>
      </c>
      <c r="G10" s="6"/>
      <c r="H10" s="6"/>
      <c r="I10" s="6"/>
      <c r="J10" s="6" t="s">
        <v>22</v>
      </c>
      <c r="K10" s="6" t="s">
        <v>69</v>
      </c>
      <c r="L10" s="26" t="s">
        <v>70</v>
      </c>
      <c r="M10" s="6">
        <v>300000</v>
      </c>
      <c r="N10" s="7">
        <f>4250*0+2700*3.5*10</f>
        <v>94500</v>
      </c>
      <c r="O10" s="7">
        <f t="shared" si="0"/>
        <v>56700</v>
      </c>
      <c r="P10" s="29"/>
      <c r="Q10" s="5"/>
      <c r="R10" s="5"/>
      <c r="S10" s="5"/>
    </row>
    <row r="11" spans="1:19" s="1" customFormat="1" ht="22.5" customHeight="1">
      <c r="A11" s="49">
        <v>8</v>
      </c>
      <c r="B11" s="49" t="s">
        <v>71</v>
      </c>
      <c r="C11" s="49">
        <v>135</v>
      </c>
      <c r="D11" s="49">
        <v>336</v>
      </c>
      <c r="E11" s="49">
        <v>235</v>
      </c>
      <c r="F11" s="49">
        <v>2350</v>
      </c>
      <c r="G11" s="49"/>
      <c r="H11" s="49"/>
      <c r="I11" s="49"/>
      <c r="J11" s="49" t="s">
        <v>22</v>
      </c>
      <c r="K11" s="49" t="s">
        <v>61</v>
      </c>
      <c r="L11" s="87" t="s">
        <v>72</v>
      </c>
      <c r="M11" s="49">
        <v>260750</v>
      </c>
      <c r="N11" s="49">
        <f>50*1800</f>
        <v>90000</v>
      </c>
      <c r="O11" s="7">
        <f t="shared" si="0"/>
        <v>54000</v>
      </c>
      <c r="P11" s="29"/>
      <c r="Q11" s="74"/>
      <c r="R11" s="74"/>
      <c r="S11" s="74"/>
    </row>
    <row r="12" spans="1:19" s="48" customFormat="1" ht="31.5" customHeight="1">
      <c r="A12" s="6">
        <v>9</v>
      </c>
      <c r="B12" s="6" t="s">
        <v>73</v>
      </c>
      <c r="C12" s="6">
        <v>389</v>
      </c>
      <c r="D12" s="6">
        <v>1096</v>
      </c>
      <c r="E12" s="6">
        <v>900</v>
      </c>
      <c r="F12" s="6">
        <v>9000</v>
      </c>
      <c r="G12" s="6"/>
      <c r="H12" s="6"/>
      <c r="I12" s="6"/>
      <c r="J12" s="6" t="s">
        <v>22</v>
      </c>
      <c r="K12" s="6" t="s">
        <v>61</v>
      </c>
      <c r="L12" s="26" t="s">
        <v>74</v>
      </c>
      <c r="M12" s="6">
        <v>236220</v>
      </c>
      <c r="N12" s="6">
        <f>56*1800</f>
        <v>100800</v>
      </c>
      <c r="O12" s="7">
        <f t="shared" si="0"/>
        <v>60480</v>
      </c>
      <c r="P12" s="81"/>
      <c r="Q12" s="39"/>
      <c r="R12" s="39"/>
      <c r="S12" s="39"/>
    </row>
    <row r="13" spans="1:19" s="18" customFormat="1" ht="39" customHeight="1">
      <c r="A13" s="75">
        <v>9</v>
      </c>
      <c r="B13" s="75" t="s">
        <v>31</v>
      </c>
      <c r="C13" s="75">
        <f aca="true" t="shared" si="1" ref="C13:I13">SUM(C4:C12)</f>
        <v>4432</v>
      </c>
      <c r="D13" s="75">
        <f t="shared" si="1"/>
        <v>12844</v>
      </c>
      <c r="E13" s="75">
        <f t="shared" si="1"/>
        <v>10005</v>
      </c>
      <c r="F13" s="75">
        <f t="shared" si="1"/>
        <v>85450</v>
      </c>
      <c r="G13" s="75">
        <f t="shared" si="1"/>
        <v>0</v>
      </c>
      <c r="H13" s="75">
        <f t="shared" si="1"/>
        <v>0</v>
      </c>
      <c r="I13" s="75">
        <f t="shared" si="1"/>
        <v>0</v>
      </c>
      <c r="J13" s="75"/>
      <c r="K13" s="75"/>
      <c r="L13" s="76"/>
      <c r="M13" s="77">
        <f aca="true" t="shared" si="2" ref="M13:R13">SUM(M4:M12)</f>
        <v>2516820.2800000003</v>
      </c>
      <c r="N13" s="75">
        <f t="shared" si="2"/>
        <v>1026990</v>
      </c>
      <c r="O13" s="75">
        <f t="shared" si="2"/>
        <v>616194</v>
      </c>
      <c r="P13" s="75">
        <f t="shared" si="2"/>
        <v>0</v>
      </c>
      <c r="Q13" s="75">
        <f t="shared" si="2"/>
        <v>0</v>
      </c>
      <c r="R13" s="75">
        <f t="shared" si="2"/>
        <v>0</v>
      </c>
      <c r="S13" s="78"/>
    </row>
    <row r="14" spans="2:16" s="18" customFormat="1" ht="15" customHeight="1">
      <c r="B14" s="23" t="s">
        <v>32</v>
      </c>
      <c r="C14" s="23"/>
      <c r="D14" s="23"/>
      <c r="E14" s="23"/>
      <c r="F14" s="23"/>
      <c r="G14" s="23"/>
      <c r="H14" s="23"/>
      <c r="I14" s="23"/>
      <c r="J14" s="37"/>
      <c r="K14" s="23"/>
      <c r="L14" s="38"/>
      <c r="P14" s="37"/>
    </row>
    <row r="15" spans="1:16" s="1" customFormat="1" ht="15" customHeight="1">
      <c r="A15" s="18"/>
      <c r="B15" s="24" t="s">
        <v>33</v>
      </c>
      <c r="C15" s="24"/>
      <c r="D15" s="24"/>
      <c r="E15" s="24"/>
      <c r="F15" s="24"/>
      <c r="G15" s="24"/>
      <c r="H15" s="24"/>
      <c r="I15" s="24"/>
      <c r="J15" s="3"/>
      <c r="K15" s="24"/>
      <c r="L15" s="19"/>
      <c r="P15" s="3"/>
    </row>
    <row r="16" spans="1:16" s="1" customFormat="1" ht="15" customHeight="1">
      <c r="A16" s="18"/>
      <c r="B16" s="24" t="s">
        <v>34</v>
      </c>
      <c r="C16" s="24"/>
      <c r="D16" s="24"/>
      <c r="E16" s="24"/>
      <c r="F16" s="24"/>
      <c r="G16" s="24"/>
      <c r="H16" s="24"/>
      <c r="I16" s="24"/>
      <c r="J16" s="3"/>
      <c r="K16" s="24"/>
      <c r="L16" s="19"/>
      <c r="P16" s="3"/>
    </row>
    <row r="17" spans="1:16" s="1" customFormat="1" ht="30" customHeight="1">
      <c r="A17" s="18"/>
      <c r="J17" s="3"/>
      <c r="K17" s="3"/>
      <c r="L17" s="19"/>
      <c r="P17" s="3"/>
    </row>
    <row r="18" spans="1:16" s="1" customFormat="1" ht="30" customHeight="1">
      <c r="A18" s="18"/>
      <c r="J18" s="3"/>
      <c r="K18" s="3"/>
      <c r="L18" s="19"/>
      <c r="P18" s="3"/>
    </row>
    <row r="19" spans="1:16" s="1" customFormat="1" ht="30" customHeight="1">
      <c r="A19" s="18"/>
      <c r="J19" s="3"/>
      <c r="K19" s="3"/>
      <c r="L19" s="19"/>
      <c r="P19" s="3"/>
    </row>
    <row r="20" spans="1:16" s="1" customFormat="1" ht="30" customHeight="1">
      <c r="A20" s="18"/>
      <c r="J20" s="3"/>
      <c r="K20" s="3"/>
      <c r="L20" s="19"/>
      <c r="P20" s="3"/>
    </row>
    <row r="21" spans="1:16" s="1" customFormat="1" ht="30" customHeight="1">
      <c r="A21" s="18"/>
      <c r="J21" s="3"/>
      <c r="K21" s="3"/>
      <c r="L21" s="19"/>
      <c r="P21" s="3"/>
    </row>
    <row r="22" ht="30" customHeight="1">
      <c r="A22" s="18"/>
    </row>
    <row r="23" ht="30" customHeight="1">
      <c r="A23" s="18"/>
    </row>
    <row r="24" ht="30" customHeight="1">
      <c r="A24" s="18"/>
    </row>
    <row r="25" ht="30" customHeight="1">
      <c r="A25" s="18"/>
    </row>
    <row r="26" ht="30" customHeight="1">
      <c r="A26" s="18"/>
    </row>
    <row r="27" ht="30" customHeight="1">
      <c r="A27" s="1"/>
    </row>
    <row r="28" ht="30" customHeight="1">
      <c r="A28" s="1"/>
    </row>
    <row r="29" ht="30" customHeight="1">
      <c r="A29" s="1"/>
    </row>
    <row r="30" ht="30" customHeight="1">
      <c r="A30" s="1"/>
    </row>
    <row r="31" ht="30" customHeight="1">
      <c r="A31" s="1"/>
    </row>
    <row r="32" ht="30" customHeight="1">
      <c r="A32" s="1"/>
    </row>
    <row r="33" ht="30" customHeight="1">
      <c r="A33" s="1"/>
    </row>
    <row r="34" ht="30" customHeight="1">
      <c r="A34" s="1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/>
  <mergeCells count="1">
    <mergeCell ref="A1:R1"/>
  </mergeCells>
  <printOptions/>
  <pageMargins left="1.06" right="0.17" top="0.43" bottom="0.27" header="0.5" footer="0.3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40"/>
  <sheetViews>
    <sheetView workbookViewId="0" topLeftCell="A1">
      <pane xSplit="2" ySplit="1" topLeftCell="K8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4.25"/>
  <cols>
    <col min="1" max="1" width="3.875" style="2" customWidth="1"/>
    <col min="2" max="2" width="12.75390625" style="2" customWidth="1"/>
    <col min="3" max="4" width="6.625" style="2" customWidth="1"/>
    <col min="5" max="7" width="6.625" style="2" hidden="1" customWidth="1"/>
    <col min="8" max="8" width="7.625" style="2" hidden="1" customWidth="1"/>
    <col min="9" max="9" width="8.125" style="2" hidden="1" customWidth="1"/>
    <col min="10" max="10" width="11.875" style="3" customWidth="1"/>
    <col min="11" max="11" width="14.25390625" style="3" customWidth="1"/>
    <col min="12" max="12" width="38.50390625" style="19" customWidth="1"/>
    <col min="13" max="13" width="10.75390625" style="2" customWidth="1"/>
    <col min="14" max="14" width="10.375" style="2" customWidth="1"/>
    <col min="15" max="15" width="9.625" style="2" customWidth="1"/>
    <col min="16" max="16" width="9.00390625" style="3" hidden="1" customWidth="1"/>
    <col min="17" max="17" width="5.625" style="2" hidden="1" customWidth="1"/>
    <col min="18" max="18" width="6.375" style="2" hidden="1" customWidth="1"/>
    <col min="19" max="19" width="5.50390625" style="2" customWidth="1"/>
    <col min="20" max="16384" width="9.00390625" style="2" customWidth="1"/>
  </cols>
  <sheetData>
    <row r="1" spans="1:18" ht="21.7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6" ht="13.5">
      <c r="A2" s="2" t="s">
        <v>75</v>
      </c>
      <c r="P2" s="3" t="s">
        <v>3</v>
      </c>
    </row>
    <row r="3" spans="1:19" s="1" customFormat="1" ht="23.2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25" t="s">
        <v>19</v>
      </c>
      <c r="Q3" s="6" t="s">
        <v>20</v>
      </c>
      <c r="R3" s="6" t="s">
        <v>19</v>
      </c>
      <c r="S3" s="5" t="s">
        <v>516</v>
      </c>
    </row>
    <row r="4" spans="1:19" s="1" customFormat="1" ht="24">
      <c r="A4" s="6">
        <v>1</v>
      </c>
      <c r="B4" s="60" t="s">
        <v>76</v>
      </c>
      <c r="C4" s="6">
        <v>625</v>
      </c>
      <c r="D4" s="6">
        <v>1191</v>
      </c>
      <c r="E4" s="6">
        <v>1066</v>
      </c>
      <c r="F4" s="6">
        <v>15990</v>
      </c>
      <c r="G4" s="6"/>
      <c r="H4" s="6"/>
      <c r="I4" s="6"/>
      <c r="J4" s="6" t="s">
        <v>77</v>
      </c>
      <c r="K4" s="6" t="s">
        <v>78</v>
      </c>
      <c r="L4" s="26" t="s">
        <v>79</v>
      </c>
      <c r="M4" s="6">
        <v>299990</v>
      </c>
      <c r="N4" s="7">
        <f>(86+460+551)*(0.7+1*2)*0.3*280</f>
        <v>248799.6</v>
      </c>
      <c r="O4" s="7">
        <f>N4*0.6</f>
        <v>149279.76</v>
      </c>
      <c r="P4" s="28" t="s">
        <v>25</v>
      </c>
      <c r="Q4" s="5" t="s">
        <v>26</v>
      </c>
      <c r="R4" s="5" t="s">
        <v>27</v>
      </c>
      <c r="S4" s="5"/>
    </row>
    <row r="5" spans="1:19" s="14" customFormat="1" ht="22.5" customHeight="1">
      <c r="A5" s="6">
        <v>2</v>
      </c>
      <c r="B5" s="6" t="s">
        <v>80</v>
      </c>
      <c r="C5" s="6">
        <v>540</v>
      </c>
      <c r="D5" s="6">
        <v>1530</v>
      </c>
      <c r="E5" s="6">
        <v>1298</v>
      </c>
      <c r="F5" s="6">
        <v>19470</v>
      </c>
      <c r="G5" s="6"/>
      <c r="H5" s="6"/>
      <c r="I5" s="6"/>
      <c r="J5" s="6" t="s">
        <v>81</v>
      </c>
      <c r="K5" s="27" t="s">
        <v>82</v>
      </c>
      <c r="L5" s="26" t="s">
        <v>83</v>
      </c>
      <c r="M5" s="6">
        <v>298180.9</v>
      </c>
      <c r="N5" s="6">
        <f>2200*50</f>
        <v>110000</v>
      </c>
      <c r="O5" s="7">
        <f aca="true" t="shared" si="0" ref="O5:O18">N5*0.6</f>
        <v>66000</v>
      </c>
      <c r="P5" s="28" t="s">
        <v>46</v>
      </c>
      <c r="Q5" s="5" t="s">
        <v>26</v>
      </c>
      <c r="R5" s="5" t="s">
        <v>27</v>
      </c>
      <c r="S5" s="59"/>
    </row>
    <row r="6" spans="1:19" s="14" customFormat="1" ht="24.75" customHeight="1">
      <c r="A6" s="6">
        <v>3</v>
      </c>
      <c r="B6" s="6" t="s">
        <v>84</v>
      </c>
      <c r="C6" s="6">
        <v>645</v>
      </c>
      <c r="D6" s="6">
        <v>1815</v>
      </c>
      <c r="E6" s="6">
        <v>1460</v>
      </c>
      <c r="F6" s="6">
        <v>21900</v>
      </c>
      <c r="G6" s="6"/>
      <c r="H6" s="6"/>
      <c r="I6" s="6"/>
      <c r="J6" s="6" t="s">
        <v>22</v>
      </c>
      <c r="K6" s="6" t="s">
        <v>85</v>
      </c>
      <c r="L6" s="26" t="s">
        <v>86</v>
      </c>
      <c r="M6" s="6">
        <v>261900</v>
      </c>
      <c r="N6" s="6">
        <f>4*4*6*0.2*1000+20000+4*4*1000+15000</f>
        <v>70200</v>
      </c>
      <c r="O6" s="7">
        <f t="shared" si="0"/>
        <v>42120</v>
      </c>
      <c r="P6" s="29"/>
      <c r="Q6" s="5" t="s">
        <v>26</v>
      </c>
      <c r="R6" s="5" t="s">
        <v>27</v>
      </c>
      <c r="S6" s="59"/>
    </row>
    <row r="7" spans="1:19" s="1" customFormat="1" ht="22.5" customHeight="1">
      <c r="A7" s="6">
        <v>4</v>
      </c>
      <c r="B7" s="6" t="s">
        <v>87</v>
      </c>
      <c r="C7" s="6">
        <v>2121</v>
      </c>
      <c r="D7" s="6">
        <v>5773</v>
      </c>
      <c r="E7" s="6">
        <v>2330</v>
      </c>
      <c r="F7" s="6">
        <v>34950</v>
      </c>
      <c r="G7" s="6"/>
      <c r="H7" s="6"/>
      <c r="I7" s="6"/>
      <c r="J7" s="6" t="s">
        <v>22</v>
      </c>
      <c r="K7" s="6" t="s">
        <v>88</v>
      </c>
      <c r="L7" s="26" t="s">
        <v>89</v>
      </c>
      <c r="M7" s="6">
        <v>298750</v>
      </c>
      <c r="N7" s="6">
        <f>6100*(32+10)</f>
        <v>256200</v>
      </c>
      <c r="O7" s="7">
        <f t="shared" si="0"/>
        <v>153720</v>
      </c>
      <c r="P7" s="29"/>
      <c r="Q7" s="5" t="s">
        <v>26</v>
      </c>
      <c r="R7" s="5" t="s">
        <v>27</v>
      </c>
      <c r="S7" s="5"/>
    </row>
    <row r="8" spans="1:19" s="14" customFormat="1" ht="19.5" customHeight="1">
      <c r="A8" s="6">
        <v>5</v>
      </c>
      <c r="B8" s="6" t="s">
        <v>90</v>
      </c>
      <c r="C8" s="6">
        <v>635</v>
      </c>
      <c r="D8" s="6">
        <v>1804</v>
      </c>
      <c r="E8" s="6">
        <v>1011</v>
      </c>
      <c r="F8" s="6">
        <v>15165</v>
      </c>
      <c r="G8" s="6"/>
      <c r="H8" s="6"/>
      <c r="I8" s="6"/>
      <c r="J8" s="6" t="s">
        <v>91</v>
      </c>
      <c r="K8" s="6" t="s">
        <v>43</v>
      </c>
      <c r="L8" s="26" t="s">
        <v>92</v>
      </c>
      <c r="M8" s="6">
        <v>298000</v>
      </c>
      <c r="N8" s="6">
        <f>700*3*50</f>
        <v>105000</v>
      </c>
      <c r="O8" s="7">
        <f t="shared" si="0"/>
        <v>63000</v>
      </c>
      <c r="P8" s="29"/>
      <c r="Q8" s="5" t="s">
        <v>26</v>
      </c>
      <c r="R8" s="5" t="s">
        <v>27</v>
      </c>
      <c r="S8" s="59"/>
    </row>
    <row r="9" spans="1:19" s="1" customFormat="1" ht="23.25" customHeight="1">
      <c r="A9" s="6">
        <v>6</v>
      </c>
      <c r="B9" s="6" t="s">
        <v>93</v>
      </c>
      <c r="C9" s="6">
        <v>640</v>
      </c>
      <c r="D9" s="6">
        <v>1818</v>
      </c>
      <c r="E9" s="6">
        <v>1520</v>
      </c>
      <c r="F9" s="6">
        <v>22800</v>
      </c>
      <c r="G9" s="6"/>
      <c r="H9" s="6"/>
      <c r="I9" s="6"/>
      <c r="J9" s="6" t="s">
        <v>94</v>
      </c>
      <c r="K9" s="6" t="s">
        <v>95</v>
      </c>
      <c r="L9" s="26" t="s">
        <v>96</v>
      </c>
      <c r="M9" s="6">
        <v>299509.05</v>
      </c>
      <c r="N9" s="6">
        <f>350*(3.6*0.12)*800</f>
        <v>120959.99999999999</v>
      </c>
      <c r="O9" s="7">
        <f t="shared" si="0"/>
        <v>72575.99999999999</v>
      </c>
      <c r="P9" s="29"/>
      <c r="Q9" s="5" t="s">
        <v>26</v>
      </c>
      <c r="R9" s="5" t="s">
        <v>27</v>
      </c>
      <c r="S9" s="5"/>
    </row>
    <row r="10" spans="1:19" s="14" customFormat="1" ht="13.5">
      <c r="A10" s="6">
        <v>7</v>
      </c>
      <c r="B10" s="6" t="s">
        <v>97</v>
      </c>
      <c r="C10" s="6">
        <v>310</v>
      </c>
      <c r="D10" s="6">
        <v>914</v>
      </c>
      <c r="E10" s="6">
        <v>500</v>
      </c>
      <c r="F10" s="6">
        <v>7500</v>
      </c>
      <c r="G10" s="6"/>
      <c r="H10" s="6"/>
      <c r="I10" s="6"/>
      <c r="J10" s="6" t="s">
        <v>22</v>
      </c>
      <c r="K10" s="27" t="s">
        <v>98</v>
      </c>
      <c r="L10" s="44" t="s">
        <v>99</v>
      </c>
      <c r="M10" s="27">
        <v>287500</v>
      </c>
      <c r="N10" s="6">
        <f>8400*10</f>
        <v>84000</v>
      </c>
      <c r="O10" s="7">
        <f t="shared" si="0"/>
        <v>50400</v>
      </c>
      <c r="P10" s="29"/>
      <c r="Q10" s="5" t="s">
        <v>26</v>
      </c>
      <c r="R10" s="5" t="s">
        <v>27</v>
      </c>
      <c r="S10" s="59"/>
    </row>
    <row r="11" spans="1:19" s="1" customFormat="1" ht="27">
      <c r="A11" s="6">
        <v>8</v>
      </c>
      <c r="B11" s="6" t="s">
        <v>100</v>
      </c>
      <c r="C11" s="6">
        <v>820</v>
      </c>
      <c r="D11" s="6">
        <v>2400</v>
      </c>
      <c r="E11" s="6">
        <v>700</v>
      </c>
      <c r="F11" s="6">
        <v>10500</v>
      </c>
      <c r="G11" s="6"/>
      <c r="H11" s="6"/>
      <c r="I11" s="6"/>
      <c r="J11" s="6" t="s">
        <v>101</v>
      </c>
      <c r="K11" s="27" t="s">
        <v>102</v>
      </c>
      <c r="L11" s="26" t="s">
        <v>103</v>
      </c>
      <c r="M11" s="27">
        <v>181000</v>
      </c>
      <c r="N11" s="6">
        <f>500*5*60+3*3000</f>
        <v>159000</v>
      </c>
      <c r="O11" s="7">
        <f t="shared" si="0"/>
        <v>95400</v>
      </c>
      <c r="P11" s="29"/>
      <c r="Q11" s="5" t="s">
        <v>26</v>
      </c>
      <c r="R11" s="5" t="s">
        <v>27</v>
      </c>
      <c r="S11" s="5"/>
    </row>
    <row r="12" spans="1:19" s="1" customFormat="1" ht="27">
      <c r="A12" s="6">
        <v>9</v>
      </c>
      <c r="B12" s="6" t="s">
        <v>104</v>
      </c>
      <c r="C12" s="6">
        <v>216</v>
      </c>
      <c r="D12" s="6">
        <v>678</v>
      </c>
      <c r="E12" s="6">
        <v>426</v>
      </c>
      <c r="F12" s="6">
        <v>6390</v>
      </c>
      <c r="G12" s="6"/>
      <c r="H12" s="6"/>
      <c r="I12" s="6"/>
      <c r="J12" s="6" t="s">
        <v>105</v>
      </c>
      <c r="K12" s="6" t="s">
        <v>106</v>
      </c>
      <c r="L12" s="26" t="s">
        <v>107</v>
      </c>
      <c r="M12" s="6">
        <v>291890</v>
      </c>
      <c r="N12" s="6">
        <f>350*3*50+750*3*60</f>
        <v>187500</v>
      </c>
      <c r="O12" s="7">
        <f t="shared" si="0"/>
        <v>112500</v>
      </c>
      <c r="P12" s="29"/>
      <c r="Q12" s="5"/>
      <c r="R12" s="5"/>
      <c r="S12" s="5"/>
    </row>
    <row r="13" spans="1:19" s="1" customFormat="1" ht="15.75" customHeight="1">
      <c r="A13" s="6">
        <v>10</v>
      </c>
      <c r="B13" s="6" t="s">
        <v>108</v>
      </c>
      <c r="C13" s="6">
        <v>380</v>
      </c>
      <c r="D13" s="6">
        <v>1100</v>
      </c>
      <c r="E13" s="6">
        <v>701</v>
      </c>
      <c r="F13" s="6">
        <v>11515</v>
      </c>
      <c r="G13" s="6"/>
      <c r="H13" s="6"/>
      <c r="I13" s="6"/>
      <c r="J13" s="6" t="s">
        <v>109</v>
      </c>
      <c r="K13" s="6" t="s">
        <v>110</v>
      </c>
      <c r="L13" s="26" t="s">
        <v>111</v>
      </c>
      <c r="M13" s="6">
        <v>284015</v>
      </c>
      <c r="N13" s="6">
        <f>2700*(60+5*0)</f>
        <v>162000</v>
      </c>
      <c r="O13" s="7">
        <f t="shared" si="0"/>
        <v>97200</v>
      </c>
      <c r="P13" s="29"/>
      <c r="Q13" s="5"/>
      <c r="R13" s="5"/>
      <c r="S13" s="5"/>
    </row>
    <row r="14" spans="1:19" s="1" customFormat="1" ht="69.75" customHeight="1">
      <c r="A14" s="6">
        <v>11</v>
      </c>
      <c r="B14" s="6" t="s">
        <v>112</v>
      </c>
      <c r="C14" s="6">
        <v>560</v>
      </c>
      <c r="D14" s="6">
        <v>1670</v>
      </c>
      <c r="E14" s="6">
        <v>880</v>
      </c>
      <c r="F14" s="6">
        <v>13200</v>
      </c>
      <c r="G14" s="6"/>
      <c r="H14" s="6"/>
      <c r="I14" s="6"/>
      <c r="J14" s="6" t="s">
        <v>22</v>
      </c>
      <c r="K14" s="6" t="s">
        <v>113</v>
      </c>
      <c r="L14" s="26" t="s">
        <v>114</v>
      </c>
      <c r="M14" s="6">
        <v>299040</v>
      </c>
      <c r="N14" s="6">
        <f>(4000+3200+2800+300+3200+400)*(32*0.45+6.5*0)</f>
        <v>200160</v>
      </c>
      <c r="O14" s="7">
        <f t="shared" si="0"/>
        <v>120096</v>
      </c>
      <c r="P14" s="29"/>
      <c r="Q14" s="5"/>
      <c r="R14" s="5"/>
      <c r="S14" s="5"/>
    </row>
    <row r="15" spans="1:19" s="1" customFormat="1" ht="18" customHeight="1">
      <c r="A15" s="6">
        <v>12</v>
      </c>
      <c r="B15" s="6" t="s">
        <v>115</v>
      </c>
      <c r="C15" s="6">
        <v>480</v>
      </c>
      <c r="D15" s="6">
        <v>1280</v>
      </c>
      <c r="E15" s="6">
        <v>1000</v>
      </c>
      <c r="F15" s="6">
        <v>15000</v>
      </c>
      <c r="G15" s="6"/>
      <c r="H15" s="6"/>
      <c r="I15" s="6"/>
      <c r="J15" s="6" t="s">
        <v>22</v>
      </c>
      <c r="K15" s="6" t="s">
        <v>116</v>
      </c>
      <c r="L15" s="26" t="s">
        <v>117</v>
      </c>
      <c r="M15" s="6">
        <v>250750</v>
      </c>
      <c r="N15" s="6">
        <f>75*1800</f>
        <v>135000</v>
      </c>
      <c r="O15" s="7">
        <f t="shared" si="0"/>
        <v>81000</v>
      </c>
      <c r="P15" s="29"/>
      <c r="Q15" s="5"/>
      <c r="R15" s="5"/>
      <c r="S15" s="5"/>
    </row>
    <row r="16" spans="1:19" s="1" customFormat="1" ht="25.5" customHeight="1">
      <c r="A16" s="6">
        <v>13</v>
      </c>
      <c r="B16" s="6" t="s">
        <v>118</v>
      </c>
      <c r="C16" s="6">
        <v>760</v>
      </c>
      <c r="D16" s="6">
        <v>2195</v>
      </c>
      <c r="E16" s="6">
        <v>1000</v>
      </c>
      <c r="F16" s="6">
        <v>15000</v>
      </c>
      <c r="G16" s="6"/>
      <c r="H16" s="6"/>
      <c r="I16" s="6"/>
      <c r="J16" s="6" t="s">
        <v>22</v>
      </c>
      <c r="K16" s="6" t="s">
        <v>119</v>
      </c>
      <c r="L16" s="26" t="s">
        <v>120</v>
      </c>
      <c r="M16" s="6">
        <v>285000</v>
      </c>
      <c r="N16" s="6">
        <f>2300*3*2.5*8+5000*2</f>
        <v>148000</v>
      </c>
      <c r="O16" s="7">
        <f t="shared" si="0"/>
        <v>88800</v>
      </c>
      <c r="P16" s="29"/>
      <c r="Q16" s="5"/>
      <c r="R16" s="5"/>
      <c r="S16" s="5"/>
    </row>
    <row r="17" spans="1:19" s="1" customFormat="1" ht="26.25" customHeight="1">
      <c r="A17" s="6">
        <v>14</v>
      </c>
      <c r="B17" s="6" t="s">
        <v>121</v>
      </c>
      <c r="C17" s="6">
        <v>160</v>
      </c>
      <c r="D17" s="6">
        <v>460</v>
      </c>
      <c r="E17" s="6">
        <v>316</v>
      </c>
      <c r="F17" s="6">
        <v>4740</v>
      </c>
      <c r="G17" s="6"/>
      <c r="H17" s="6"/>
      <c r="I17" s="6"/>
      <c r="J17" s="6" t="s">
        <v>122</v>
      </c>
      <c r="K17" s="6" t="s">
        <v>123</v>
      </c>
      <c r="L17" s="26" t="s">
        <v>124</v>
      </c>
      <c r="M17" s="6">
        <v>254424</v>
      </c>
      <c r="N17" s="6">
        <f>900*4.5*60</f>
        <v>243000</v>
      </c>
      <c r="O17" s="7">
        <f t="shared" si="0"/>
        <v>145800</v>
      </c>
      <c r="P17" s="29"/>
      <c r="Q17" s="5"/>
      <c r="R17" s="5"/>
      <c r="S17" s="5"/>
    </row>
    <row r="18" spans="1:19" s="1" customFormat="1" ht="36">
      <c r="A18" s="6">
        <v>15</v>
      </c>
      <c r="B18" s="6" t="s">
        <v>125</v>
      </c>
      <c r="C18" s="6">
        <v>3540</v>
      </c>
      <c r="D18" s="6">
        <v>9600</v>
      </c>
      <c r="E18" s="6">
        <v>4140</v>
      </c>
      <c r="F18" s="6">
        <v>62100</v>
      </c>
      <c r="G18" s="6"/>
      <c r="H18" s="6"/>
      <c r="I18" s="6"/>
      <c r="J18" s="6" t="s">
        <v>22</v>
      </c>
      <c r="K18" s="6" t="s">
        <v>126</v>
      </c>
      <c r="L18" s="26" t="s">
        <v>127</v>
      </c>
      <c r="M18" s="6">
        <v>289700</v>
      </c>
      <c r="N18" s="6">
        <f>4000*(31+10+0.5*50)</f>
        <v>264000</v>
      </c>
      <c r="O18" s="7">
        <f t="shared" si="0"/>
        <v>158400</v>
      </c>
      <c r="P18" s="29"/>
      <c r="Q18" s="5"/>
      <c r="R18" s="5"/>
      <c r="S18" s="5"/>
    </row>
    <row r="19" spans="1:19" s="17" customFormat="1" ht="24" customHeight="1">
      <c r="A19" s="27">
        <v>15</v>
      </c>
      <c r="B19" s="6" t="s">
        <v>31</v>
      </c>
      <c r="C19" s="6">
        <f>SUM(C4:C18)</f>
        <v>12432</v>
      </c>
      <c r="D19" s="6">
        <f>SUM(D4:D18)</f>
        <v>34228</v>
      </c>
      <c r="E19" s="6">
        <f>SUM(E4:E18)</f>
        <v>18348</v>
      </c>
      <c r="F19" s="6">
        <f>SUM(F4:F18)</f>
        <v>276220</v>
      </c>
      <c r="G19" s="6"/>
      <c r="H19" s="6"/>
      <c r="I19" s="6"/>
      <c r="J19" s="6"/>
      <c r="K19" s="6"/>
      <c r="L19" s="71"/>
      <c r="M19" s="7">
        <f>SUM(M4:M18)</f>
        <v>4179648.95</v>
      </c>
      <c r="N19" s="7">
        <f>SUM(N4:N18)</f>
        <v>2493819.6</v>
      </c>
      <c r="O19" s="7">
        <f>SUM(O4:O18)</f>
        <v>1496291.76</v>
      </c>
      <c r="P19" s="29"/>
      <c r="Q19" s="5"/>
      <c r="R19" s="5"/>
      <c r="S19" s="5"/>
    </row>
    <row r="20" spans="2:16" s="18" customFormat="1" ht="15" customHeight="1">
      <c r="B20" s="23" t="s">
        <v>32</v>
      </c>
      <c r="C20" s="23"/>
      <c r="D20" s="23"/>
      <c r="E20" s="23"/>
      <c r="F20" s="23"/>
      <c r="G20" s="23"/>
      <c r="H20" s="23"/>
      <c r="I20" s="23"/>
      <c r="J20" s="37"/>
      <c r="K20" s="23"/>
      <c r="L20" s="38"/>
      <c r="P20" s="37"/>
    </row>
    <row r="21" spans="1:16" s="1" customFormat="1" ht="15" customHeight="1">
      <c r="A21" s="18"/>
      <c r="B21" s="24" t="s">
        <v>33</v>
      </c>
      <c r="C21" s="24"/>
      <c r="D21" s="24"/>
      <c r="E21" s="24"/>
      <c r="F21" s="24"/>
      <c r="G21" s="24"/>
      <c r="H21" s="24"/>
      <c r="I21" s="24"/>
      <c r="J21" s="3"/>
      <c r="K21" s="24"/>
      <c r="L21" s="19"/>
      <c r="P21" s="3"/>
    </row>
    <row r="22" spans="1:16" s="1" customFormat="1" ht="15" customHeight="1">
      <c r="A22" s="18"/>
      <c r="B22" s="24" t="s">
        <v>34</v>
      </c>
      <c r="C22" s="24"/>
      <c r="D22" s="24"/>
      <c r="E22" s="24"/>
      <c r="F22" s="24"/>
      <c r="G22" s="24"/>
      <c r="H22" s="24"/>
      <c r="I22" s="24"/>
      <c r="J22" s="3"/>
      <c r="K22" s="24"/>
      <c r="L22" s="19"/>
      <c r="P22" s="3"/>
    </row>
    <row r="23" spans="1:16" s="1" customFormat="1" ht="30" customHeight="1">
      <c r="A23" s="18"/>
      <c r="J23" s="3"/>
      <c r="K23" s="3"/>
      <c r="L23" s="19"/>
      <c r="P23" s="3"/>
    </row>
    <row r="24" spans="1:16" s="1" customFormat="1" ht="30" customHeight="1">
      <c r="A24" s="18"/>
      <c r="J24" s="3"/>
      <c r="K24" s="3"/>
      <c r="L24" s="19"/>
      <c r="P24" s="3"/>
    </row>
    <row r="25" spans="1:16" s="1" customFormat="1" ht="30" customHeight="1">
      <c r="A25" s="18"/>
      <c r="J25" s="3"/>
      <c r="K25" s="3"/>
      <c r="L25" s="19"/>
      <c r="P25" s="3"/>
    </row>
    <row r="26" spans="1:16" s="1" customFormat="1" ht="30" customHeight="1">
      <c r="A26" s="18"/>
      <c r="J26" s="3"/>
      <c r="K26" s="3"/>
      <c r="L26" s="19"/>
      <c r="P26" s="3"/>
    </row>
    <row r="27" spans="1:16" s="1" customFormat="1" ht="30" customHeight="1">
      <c r="A27" s="18"/>
      <c r="J27" s="3"/>
      <c r="K27" s="3"/>
      <c r="L27" s="19"/>
      <c r="P27" s="3"/>
    </row>
    <row r="28" ht="30" customHeight="1">
      <c r="A28" s="18"/>
    </row>
    <row r="29" ht="30" customHeight="1">
      <c r="A29" s="18"/>
    </row>
    <row r="30" ht="30" customHeight="1">
      <c r="A30" s="18"/>
    </row>
    <row r="31" ht="30" customHeight="1">
      <c r="A31" s="18"/>
    </row>
    <row r="32" ht="30" customHeight="1">
      <c r="A32" s="18"/>
    </row>
    <row r="33" ht="30" customHeight="1">
      <c r="A33" s="1"/>
    </row>
    <row r="34" ht="30" customHeight="1">
      <c r="A34" s="1"/>
    </row>
    <row r="35" ht="30" customHeight="1">
      <c r="A35" s="1"/>
    </row>
    <row r="36" ht="30" customHeight="1">
      <c r="A36" s="1"/>
    </row>
    <row r="37" ht="30" customHeight="1">
      <c r="A37" s="1"/>
    </row>
    <row r="38" ht="30" customHeight="1">
      <c r="A38" s="1"/>
    </row>
    <row r="39" ht="30" customHeight="1">
      <c r="A39" s="1"/>
    </row>
    <row r="40" ht="30" customHeight="1">
      <c r="A40" s="1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</sheetData>
  <sheetProtection/>
  <mergeCells count="1">
    <mergeCell ref="A1:R1"/>
  </mergeCells>
  <printOptions/>
  <pageMargins left="0.37" right="0.37" top="0.43" bottom="0.28" header="0.51" footer="0.3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36"/>
  <sheetViews>
    <sheetView workbookViewId="0" topLeftCell="A1">
      <pane xSplit="2" ySplit="1" topLeftCell="L2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4.25"/>
  <cols>
    <col min="1" max="1" width="3.875" style="2" customWidth="1"/>
    <col min="2" max="4" width="6.625" style="2" customWidth="1"/>
    <col min="5" max="7" width="6.625" style="2" hidden="1" customWidth="1"/>
    <col min="8" max="8" width="7.625" style="2" hidden="1" customWidth="1"/>
    <col min="9" max="9" width="8.125" style="2" hidden="1" customWidth="1"/>
    <col min="10" max="10" width="10.875" style="3" customWidth="1"/>
    <col min="11" max="11" width="13.375" style="3" customWidth="1"/>
    <col min="12" max="12" width="45.50390625" style="19" customWidth="1"/>
    <col min="13" max="13" width="10.75390625" style="2" customWidth="1"/>
    <col min="14" max="14" width="10.375" style="2" customWidth="1"/>
    <col min="15" max="15" width="9.625" style="2" customWidth="1"/>
    <col min="16" max="16" width="9.00390625" style="3" hidden="1" customWidth="1"/>
    <col min="17" max="17" width="5.625" style="2" hidden="1" customWidth="1"/>
    <col min="18" max="18" width="6.375" style="2" hidden="1" customWidth="1"/>
    <col min="19" max="16384" width="9.00390625" style="2" customWidth="1"/>
  </cols>
  <sheetData>
    <row r="1" spans="1:18" ht="34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6" ht="13.5">
      <c r="A2" s="2" t="s">
        <v>128</v>
      </c>
      <c r="P2" s="3" t="s">
        <v>3</v>
      </c>
    </row>
    <row r="3" spans="1:19" s="1" customFormat="1" ht="39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25" t="s">
        <v>19</v>
      </c>
      <c r="Q3" s="6" t="s">
        <v>20</v>
      </c>
      <c r="R3" s="6" t="s">
        <v>19</v>
      </c>
      <c r="S3" s="5" t="s">
        <v>516</v>
      </c>
    </row>
    <row r="4" spans="1:19" s="1" customFormat="1" ht="24">
      <c r="A4" s="27">
        <v>1</v>
      </c>
      <c r="B4" s="27" t="s">
        <v>129</v>
      </c>
      <c r="C4" s="27">
        <v>380</v>
      </c>
      <c r="D4" s="27">
        <v>1050</v>
      </c>
      <c r="E4" s="27">
        <v>970</v>
      </c>
      <c r="F4" s="27">
        <v>14550</v>
      </c>
      <c r="G4" s="27"/>
      <c r="H4" s="27"/>
      <c r="I4" s="27"/>
      <c r="J4" s="27" t="s">
        <v>130</v>
      </c>
      <c r="K4" s="27" t="s">
        <v>131</v>
      </c>
      <c r="L4" s="44" t="s">
        <v>132</v>
      </c>
      <c r="M4" s="94">
        <v>206406</v>
      </c>
      <c r="N4" s="94">
        <f>2700*35</f>
        <v>94500</v>
      </c>
      <c r="O4" s="54">
        <f>N4*0.6</f>
        <v>56700</v>
      </c>
      <c r="P4" s="90" t="s">
        <v>46</v>
      </c>
      <c r="Q4" s="56" t="s">
        <v>26</v>
      </c>
      <c r="R4" s="56" t="s">
        <v>27</v>
      </c>
      <c r="S4" s="56"/>
    </row>
    <row r="5" spans="1:21" s="14" customFormat="1" ht="27">
      <c r="A5" s="27">
        <v>2</v>
      </c>
      <c r="B5" s="27" t="s">
        <v>133</v>
      </c>
      <c r="C5" s="27">
        <v>1156</v>
      </c>
      <c r="D5" s="27">
        <v>3037</v>
      </c>
      <c r="E5" s="27">
        <v>2770</v>
      </c>
      <c r="F5" s="27">
        <v>41550</v>
      </c>
      <c r="G5" s="27"/>
      <c r="H5" s="27"/>
      <c r="I5" s="27"/>
      <c r="J5" s="27" t="s">
        <v>22</v>
      </c>
      <c r="K5" s="27" t="s">
        <v>134</v>
      </c>
      <c r="L5" s="44" t="s">
        <v>135</v>
      </c>
      <c r="M5" s="94">
        <v>286371</v>
      </c>
      <c r="N5" s="94">
        <f>(2.3*326+584)*(62+30)+584*20</f>
        <v>134389.59999999998</v>
      </c>
      <c r="O5" s="54">
        <f aca="true" t="shared" si="0" ref="O5:O14">N5*0.6</f>
        <v>80633.75999999998</v>
      </c>
      <c r="P5" s="55"/>
      <c r="Q5" s="56" t="s">
        <v>26</v>
      </c>
      <c r="R5" s="56" t="s">
        <v>27</v>
      </c>
      <c r="S5" s="56"/>
      <c r="T5" s="1"/>
      <c r="U5" s="1"/>
    </row>
    <row r="6" spans="1:21" s="14" customFormat="1" ht="13.5">
      <c r="A6" s="27">
        <v>3</v>
      </c>
      <c r="B6" s="27" t="s">
        <v>136</v>
      </c>
      <c r="C6" s="27">
        <v>1041</v>
      </c>
      <c r="D6" s="27">
        <v>2996</v>
      </c>
      <c r="E6" s="27">
        <v>2996</v>
      </c>
      <c r="F6" s="27">
        <v>44940</v>
      </c>
      <c r="G6" s="27"/>
      <c r="H6" s="27"/>
      <c r="I6" s="27"/>
      <c r="J6" s="27" t="s">
        <v>22</v>
      </c>
      <c r="K6" s="27" t="s">
        <v>137</v>
      </c>
      <c r="L6" s="44" t="s">
        <v>138</v>
      </c>
      <c r="M6" s="94">
        <v>296369</v>
      </c>
      <c r="N6" s="94">
        <f>556*(1.4*2*0.3*280+2.2*0.2*390)</f>
        <v>226180.80000000002</v>
      </c>
      <c r="O6" s="54">
        <f t="shared" si="0"/>
        <v>135708.48</v>
      </c>
      <c r="P6" s="55"/>
      <c r="Q6" s="56" t="s">
        <v>26</v>
      </c>
      <c r="R6" s="56" t="s">
        <v>27</v>
      </c>
      <c r="S6" s="56"/>
      <c r="T6" s="1"/>
      <c r="U6" s="1"/>
    </row>
    <row r="7" spans="1:21" s="14" customFormat="1" ht="13.5">
      <c r="A7" s="27">
        <v>4</v>
      </c>
      <c r="B7" s="27" t="s">
        <v>139</v>
      </c>
      <c r="C7" s="27">
        <v>498</v>
      </c>
      <c r="D7" s="27">
        <v>1465</v>
      </c>
      <c r="E7" s="27">
        <v>1255</v>
      </c>
      <c r="F7" s="27">
        <v>18825</v>
      </c>
      <c r="G7" s="27"/>
      <c r="H7" s="27"/>
      <c r="I7" s="27"/>
      <c r="J7" s="27" t="s">
        <v>22</v>
      </c>
      <c r="K7" s="27" t="s">
        <v>140</v>
      </c>
      <c r="L7" s="44" t="s">
        <v>522</v>
      </c>
      <c r="M7" s="94">
        <v>278724.85</v>
      </c>
      <c r="N7" s="94">
        <f>276*280+150*380</f>
        <v>134280</v>
      </c>
      <c r="O7" s="54">
        <f t="shared" si="0"/>
        <v>80568</v>
      </c>
      <c r="P7" s="55"/>
      <c r="Q7" s="56" t="s">
        <v>26</v>
      </c>
      <c r="R7" s="56" t="s">
        <v>25</v>
      </c>
      <c r="S7" s="56"/>
      <c r="T7" s="1"/>
      <c r="U7" s="1"/>
    </row>
    <row r="8" spans="1:19" s="1" customFormat="1" ht="13.5">
      <c r="A8" s="27">
        <v>5</v>
      </c>
      <c r="B8" s="27" t="s">
        <v>141</v>
      </c>
      <c r="C8" s="27">
        <v>1270</v>
      </c>
      <c r="D8" s="27">
        <v>3648</v>
      </c>
      <c r="E8" s="27">
        <v>3547</v>
      </c>
      <c r="F8" s="27">
        <v>53205</v>
      </c>
      <c r="G8" s="27"/>
      <c r="H8" s="27"/>
      <c r="I8" s="27"/>
      <c r="J8" s="27" t="s">
        <v>22</v>
      </c>
      <c r="K8" s="27" t="s">
        <v>142</v>
      </c>
      <c r="L8" s="44" t="s">
        <v>143</v>
      </c>
      <c r="M8" s="94">
        <v>298206.66</v>
      </c>
      <c r="N8" s="94">
        <f>920*3.5*60</f>
        <v>193200</v>
      </c>
      <c r="O8" s="54">
        <f t="shared" si="0"/>
        <v>115920</v>
      </c>
      <c r="P8" s="55"/>
      <c r="Q8" s="56" t="s">
        <v>26</v>
      </c>
      <c r="R8" s="56" t="s">
        <v>27</v>
      </c>
      <c r="S8" s="56"/>
    </row>
    <row r="9" spans="1:19" s="14" customFormat="1" ht="27">
      <c r="A9" s="27">
        <v>6</v>
      </c>
      <c r="B9" s="27" t="s">
        <v>144</v>
      </c>
      <c r="C9" s="27">
        <v>280</v>
      </c>
      <c r="D9" s="27">
        <v>1340</v>
      </c>
      <c r="E9" s="27">
        <v>1250</v>
      </c>
      <c r="F9" s="27">
        <v>18750</v>
      </c>
      <c r="G9" s="27"/>
      <c r="H9" s="27"/>
      <c r="I9" s="27"/>
      <c r="J9" s="27" t="s">
        <v>22</v>
      </c>
      <c r="K9" s="27" t="s">
        <v>145</v>
      </c>
      <c r="L9" s="44" t="s">
        <v>146</v>
      </c>
      <c r="M9" s="94">
        <v>298624.48</v>
      </c>
      <c r="N9" s="94">
        <f>(7400*10+2300*80)</f>
        <v>258000</v>
      </c>
      <c r="O9" s="54">
        <f t="shared" si="0"/>
        <v>154800</v>
      </c>
      <c r="P9" s="55"/>
      <c r="Q9" s="56" t="s">
        <v>26</v>
      </c>
      <c r="R9" s="56" t="s">
        <v>27</v>
      </c>
      <c r="S9" s="56"/>
    </row>
    <row r="10" spans="1:19" s="14" customFormat="1" ht="27">
      <c r="A10" s="27">
        <v>7</v>
      </c>
      <c r="B10" s="27" t="s">
        <v>147</v>
      </c>
      <c r="C10" s="27">
        <v>1030</v>
      </c>
      <c r="D10" s="27">
        <v>2965</v>
      </c>
      <c r="E10" s="27">
        <v>1150</v>
      </c>
      <c r="F10" s="27">
        <v>17250</v>
      </c>
      <c r="G10" s="27"/>
      <c r="H10" s="27"/>
      <c r="I10" s="27"/>
      <c r="J10" s="27" t="s">
        <v>148</v>
      </c>
      <c r="K10" s="27" t="s">
        <v>149</v>
      </c>
      <c r="L10" s="44" t="s">
        <v>150</v>
      </c>
      <c r="M10" s="94">
        <v>316304</v>
      </c>
      <c r="N10" s="94">
        <f>400*5*60</f>
        <v>120000</v>
      </c>
      <c r="O10" s="54">
        <f t="shared" si="0"/>
        <v>72000</v>
      </c>
      <c r="P10" s="55"/>
      <c r="Q10" s="56" t="s">
        <v>26</v>
      </c>
      <c r="R10" s="56" t="s">
        <v>27</v>
      </c>
      <c r="S10" s="56"/>
    </row>
    <row r="11" spans="1:19" s="14" customFormat="1" ht="27">
      <c r="A11" s="27">
        <v>8</v>
      </c>
      <c r="B11" s="27" t="s">
        <v>151</v>
      </c>
      <c r="C11" s="27">
        <v>940</v>
      </c>
      <c r="D11" s="27">
        <v>2600</v>
      </c>
      <c r="E11" s="27">
        <v>2450</v>
      </c>
      <c r="F11" s="27">
        <v>36750</v>
      </c>
      <c r="G11" s="27"/>
      <c r="H11" s="27"/>
      <c r="I11" s="27"/>
      <c r="J11" s="27" t="s">
        <v>152</v>
      </c>
      <c r="K11" s="27" t="s">
        <v>153</v>
      </c>
      <c r="L11" s="44" t="s">
        <v>154</v>
      </c>
      <c r="M11" s="94">
        <v>257931</v>
      </c>
      <c r="N11" s="94">
        <f>140*5*0.3*280+65*0.12*1.12*4*800</f>
        <v>86755.2</v>
      </c>
      <c r="O11" s="54">
        <f t="shared" si="0"/>
        <v>52053.119999999995</v>
      </c>
      <c r="P11" s="55"/>
      <c r="Q11" s="56" t="s">
        <v>26</v>
      </c>
      <c r="R11" s="56" t="s">
        <v>155</v>
      </c>
      <c r="S11" s="56"/>
    </row>
    <row r="12" spans="1:19" s="14" customFormat="1" ht="27">
      <c r="A12" s="27">
        <v>9</v>
      </c>
      <c r="B12" s="27" t="s">
        <v>156</v>
      </c>
      <c r="C12" s="27">
        <v>553</v>
      </c>
      <c r="D12" s="27">
        <v>1467</v>
      </c>
      <c r="E12" s="27">
        <v>1225</v>
      </c>
      <c r="F12" s="27">
        <v>18375</v>
      </c>
      <c r="G12" s="27"/>
      <c r="H12" s="27"/>
      <c r="I12" s="27"/>
      <c r="J12" s="27" t="s">
        <v>22</v>
      </c>
      <c r="K12" s="27" t="s">
        <v>157</v>
      </c>
      <c r="L12" s="44" t="s">
        <v>158</v>
      </c>
      <c r="M12" s="94">
        <v>294000</v>
      </c>
      <c r="N12" s="94">
        <f>2000*30</f>
        <v>60000</v>
      </c>
      <c r="O12" s="54">
        <f t="shared" si="0"/>
        <v>36000</v>
      </c>
      <c r="P12" s="55"/>
      <c r="Q12" s="56"/>
      <c r="R12" s="56"/>
      <c r="S12" s="56"/>
    </row>
    <row r="13" spans="1:19" s="14" customFormat="1" ht="24">
      <c r="A13" s="27">
        <v>10</v>
      </c>
      <c r="B13" s="69" t="s">
        <v>159</v>
      </c>
      <c r="C13" s="69"/>
      <c r="D13" s="69"/>
      <c r="E13" s="69"/>
      <c r="F13" s="69"/>
      <c r="G13" s="69"/>
      <c r="H13" s="69"/>
      <c r="I13" s="69"/>
      <c r="J13" s="69" t="s">
        <v>160</v>
      </c>
      <c r="K13" s="69" t="s">
        <v>161</v>
      </c>
      <c r="L13" s="91" t="s">
        <v>523</v>
      </c>
      <c r="M13" s="88">
        <v>299015.06</v>
      </c>
      <c r="N13" s="88">
        <f>380*(0.4*0.7*2+1.5*0.3)*280+5000+5000+7*2000</f>
        <v>131463.99999999997</v>
      </c>
      <c r="O13" s="54">
        <f t="shared" si="0"/>
        <v>78878.39999999998</v>
      </c>
      <c r="P13" s="55"/>
      <c r="Q13" s="92"/>
      <c r="R13" s="92"/>
      <c r="S13" s="92"/>
    </row>
    <row r="14" spans="1:19" s="51" customFormat="1" ht="27">
      <c r="A14" s="27">
        <v>11</v>
      </c>
      <c r="B14" s="27" t="s">
        <v>162</v>
      </c>
      <c r="C14" s="27">
        <v>350</v>
      </c>
      <c r="D14" s="27">
        <v>898</v>
      </c>
      <c r="E14" s="27">
        <v>698</v>
      </c>
      <c r="F14" s="27">
        <v>10470</v>
      </c>
      <c r="G14" s="27"/>
      <c r="H14" s="27"/>
      <c r="I14" s="27"/>
      <c r="J14" s="27" t="s">
        <v>22</v>
      </c>
      <c r="K14" s="27" t="s">
        <v>163</v>
      </c>
      <c r="L14" s="44" t="s">
        <v>164</v>
      </c>
      <c r="M14" s="94">
        <v>298116</v>
      </c>
      <c r="N14" s="94">
        <f>63*1800</f>
        <v>113400</v>
      </c>
      <c r="O14" s="54">
        <f t="shared" si="0"/>
        <v>68040</v>
      </c>
      <c r="P14" s="95"/>
      <c r="Q14" s="56"/>
      <c r="R14" s="56"/>
      <c r="S14" s="56"/>
    </row>
    <row r="15" spans="1:19" s="18" customFormat="1" ht="27.75" customHeight="1">
      <c r="A15" s="84">
        <v>11</v>
      </c>
      <c r="B15" s="84" t="s">
        <v>31</v>
      </c>
      <c r="C15" s="84">
        <f>SUM(C4:C14)</f>
        <v>7498</v>
      </c>
      <c r="D15" s="84">
        <f>SUM(D4:D14)</f>
        <v>21466</v>
      </c>
      <c r="E15" s="84">
        <f>SUM(E4:E14)</f>
        <v>18311</v>
      </c>
      <c r="F15" s="84">
        <f>SUM(F4:F14)</f>
        <v>274665</v>
      </c>
      <c r="G15" s="84">
        <f>SUM(G4:G11)</f>
        <v>0</v>
      </c>
      <c r="H15" s="84">
        <f>SUM(H4:H11)</f>
        <v>0</v>
      </c>
      <c r="I15" s="84">
        <f>SUM(I4:I11)</f>
        <v>0</v>
      </c>
      <c r="J15" s="84"/>
      <c r="K15" s="84"/>
      <c r="L15" s="96"/>
      <c r="M15" s="97">
        <f>SUM(M4:M14)</f>
        <v>3130068.0500000003</v>
      </c>
      <c r="N15" s="97">
        <f>SUM(N4:N14)</f>
        <v>1552169.5999999999</v>
      </c>
      <c r="O15" s="99">
        <f>SUM(O4:O14)</f>
        <v>931301.76</v>
      </c>
      <c r="P15" s="85"/>
      <c r="Q15" s="86"/>
      <c r="R15" s="86"/>
      <c r="S15" s="86"/>
    </row>
    <row r="16" spans="2:16" s="18" customFormat="1" ht="15" customHeight="1">
      <c r="B16" s="23" t="s">
        <v>32</v>
      </c>
      <c r="C16" s="23"/>
      <c r="D16" s="23"/>
      <c r="E16" s="23"/>
      <c r="F16" s="23"/>
      <c r="G16" s="23"/>
      <c r="H16" s="23"/>
      <c r="I16" s="23"/>
      <c r="J16" s="37"/>
      <c r="K16" s="23"/>
      <c r="L16" s="38"/>
      <c r="P16" s="37"/>
    </row>
    <row r="17" spans="1:16" s="1" customFormat="1" ht="15" customHeight="1">
      <c r="A17" s="18"/>
      <c r="B17" s="24" t="s">
        <v>33</v>
      </c>
      <c r="C17" s="24"/>
      <c r="D17" s="24"/>
      <c r="E17" s="24"/>
      <c r="F17" s="24"/>
      <c r="G17" s="24"/>
      <c r="H17" s="24"/>
      <c r="I17" s="24"/>
      <c r="J17" s="3"/>
      <c r="K17" s="24"/>
      <c r="L17" s="19"/>
      <c r="P17" s="3"/>
    </row>
    <row r="18" spans="1:16" s="1" customFormat="1" ht="15" customHeight="1">
      <c r="A18" s="18"/>
      <c r="B18" s="24" t="s">
        <v>34</v>
      </c>
      <c r="C18" s="24"/>
      <c r="D18" s="24"/>
      <c r="E18" s="24"/>
      <c r="F18" s="24"/>
      <c r="G18" s="24"/>
      <c r="H18" s="24"/>
      <c r="I18" s="24"/>
      <c r="J18" s="3"/>
      <c r="K18" s="24"/>
      <c r="L18" s="19"/>
      <c r="P18" s="3"/>
    </row>
    <row r="19" spans="1:16" s="1" customFormat="1" ht="30" customHeight="1">
      <c r="A19" s="18"/>
      <c r="J19" s="3"/>
      <c r="K19" s="3"/>
      <c r="L19" s="19"/>
      <c r="P19" s="3"/>
    </row>
    <row r="20" spans="1:16" s="1" customFormat="1" ht="30" customHeight="1">
      <c r="A20" s="18"/>
      <c r="J20" s="3"/>
      <c r="K20" s="3"/>
      <c r="L20" s="19"/>
      <c r="P20" s="3"/>
    </row>
    <row r="21" spans="1:16" s="1" customFormat="1" ht="30" customHeight="1">
      <c r="A21" s="18"/>
      <c r="J21" s="3"/>
      <c r="K21" s="3"/>
      <c r="L21" s="19"/>
      <c r="P21" s="3"/>
    </row>
    <row r="22" spans="1:16" s="1" customFormat="1" ht="30" customHeight="1">
      <c r="A22" s="18"/>
      <c r="J22" s="3"/>
      <c r="K22" s="3"/>
      <c r="L22" s="19"/>
      <c r="P22" s="3"/>
    </row>
    <row r="23" spans="1:16" s="1" customFormat="1" ht="30" customHeight="1">
      <c r="A23" s="18"/>
      <c r="J23" s="3"/>
      <c r="K23" s="3"/>
      <c r="L23" s="19"/>
      <c r="P23" s="3"/>
    </row>
    <row r="24" ht="30" customHeight="1">
      <c r="A24" s="18"/>
    </row>
    <row r="25" ht="30" customHeight="1">
      <c r="A25" s="18"/>
    </row>
    <row r="26" ht="30" customHeight="1">
      <c r="A26" s="18"/>
    </row>
    <row r="27" ht="30" customHeight="1">
      <c r="A27" s="18"/>
    </row>
    <row r="28" ht="30" customHeight="1">
      <c r="A28" s="18"/>
    </row>
    <row r="29" ht="30" customHeight="1">
      <c r="A29" s="1"/>
    </row>
    <row r="30" ht="30" customHeight="1">
      <c r="A30" s="1"/>
    </row>
    <row r="31" ht="30" customHeight="1">
      <c r="A31" s="1"/>
    </row>
    <row r="32" ht="30" customHeight="1">
      <c r="A32" s="1"/>
    </row>
    <row r="33" ht="30" customHeight="1">
      <c r="A33" s="1"/>
    </row>
    <row r="34" ht="30" customHeight="1">
      <c r="A34" s="1"/>
    </row>
    <row r="35" ht="30" customHeight="1">
      <c r="A35" s="1"/>
    </row>
    <row r="36" ht="30" customHeight="1">
      <c r="A36" s="1"/>
    </row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sheetProtection/>
  <mergeCells count="1">
    <mergeCell ref="A1:R1"/>
  </mergeCells>
  <printOptions/>
  <pageMargins left="0.25" right="0.17" top="0.43" bottom="0.27" header="0.5" footer="0.3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35"/>
  <sheetViews>
    <sheetView workbookViewId="0" topLeftCell="A1">
      <pane xSplit="2" ySplit="1" topLeftCell="J2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4.25"/>
  <cols>
    <col min="1" max="1" width="3.875" style="2" customWidth="1"/>
    <col min="2" max="2" width="6.625" style="2" customWidth="1"/>
    <col min="3" max="7" width="6.625" style="2" hidden="1" customWidth="1"/>
    <col min="8" max="8" width="7.625" style="2" hidden="1" customWidth="1"/>
    <col min="9" max="9" width="8.125" style="2" hidden="1" customWidth="1"/>
    <col min="10" max="10" width="10.875" style="3" customWidth="1"/>
    <col min="11" max="11" width="14.50390625" style="3" customWidth="1"/>
    <col min="12" max="12" width="41.875" style="19" customWidth="1"/>
    <col min="13" max="13" width="12.75390625" style="2" customWidth="1"/>
    <col min="14" max="14" width="11.125" style="2" customWidth="1"/>
    <col min="15" max="15" width="9.625" style="2" customWidth="1"/>
    <col min="16" max="16" width="9.00390625" style="3" hidden="1" customWidth="1"/>
    <col min="17" max="17" width="5.625" style="2" hidden="1" customWidth="1"/>
    <col min="18" max="18" width="6.375" style="2" hidden="1" customWidth="1"/>
    <col min="19" max="16384" width="9.00390625" style="2" customWidth="1"/>
  </cols>
  <sheetData>
    <row r="1" spans="1:18" ht="34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6" ht="13.5">
      <c r="A2" s="2" t="s">
        <v>165</v>
      </c>
      <c r="P2" s="3" t="s">
        <v>3</v>
      </c>
    </row>
    <row r="3" spans="1:19" s="1" customFormat="1" ht="30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25" t="s">
        <v>19</v>
      </c>
      <c r="Q3" s="6" t="s">
        <v>20</v>
      </c>
      <c r="R3" s="6" t="s">
        <v>19</v>
      </c>
      <c r="S3" s="5" t="s">
        <v>516</v>
      </c>
    </row>
    <row r="4" spans="1:19" s="14" customFormat="1" ht="23.25" customHeight="1">
      <c r="A4" s="6">
        <v>1</v>
      </c>
      <c r="B4" s="6" t="s">
        <v>166</v>
      </c>
      <c r="C4" s="6">
        <v>189</v>
      </c>
      <c r="D4" s="6">
        <v>570</v>
      </c>
      <c r="E4" s="6">
        <v>450</v>
      </c>
      <c r="F4" s="6">
        <v>6750</v>
      </c>
      <c r="G4" s="6"/>
      <c r="H4" s="6"/>
      <c r="I4" s="6"/>
      <c r="J4" s="6" t="s">
        <v>22</v>
      </c>
      <c r="K4" s="6" t="s">
        <v>167</v>
      </c>
      <c r="L4" s="57" t="s">
        <v>168</v>
      </c>
      <c r="M4" s="6">
        <v>297556</v>
      </c>
      <c r="N4" s="6">
        <f>7392*35</f>
        <v>258720</v>
      </c>
      <c r="O4" s="7">
        <f>N4*0.6</f>
        <v>155232</v>
      </c>
      <c r="P4" s="28" t="s">
        <v>25</v>
      </c>
      <c r="Q4" s="5" t="s">
        <v>26</v>
      </c>
      <c r="R4" s="6" t="s">
        <v>169</v>
      </c>
      <c r="S4" s="5"/>
    </row>
    <row r="5" spans="1:19" s="1" customFormat="1" ht="36">
      <c r="A5" s="6">
        <v>2</v>
      </c>
      <c r="B5" s="6" t="s">
        <v>170</v>
      </c>
      <c r="C5" s="6">
        <v>410</v>
      </c>
      <c r="D5" s="6">
        <v>1230</v>
      </c>
      <c r="E5" s="6">
        <v>1150</v>
      </c>
      <c r="F5" s="1">
        <v>17250</v>
      </c>
      <c r="G5" s="6"/>
      <c r="H5" s="6"/>
      <c r="I5" s="6"/>
      <c r="J5" s="6" t="s">
        <v>22</v>
      </c>
      <c r="K5" s="6" t="s">
        <v>171</v>
      </c>
      <c r="L5" s="26" t="s">
        <v>172</v>
      </c>
      <c r="M5" s="6">
        <v>298701.59</v>
      </c>
      <c r="N5" s="6">
        <f>35*(322.5*4+480*5+410*4+440*5)</f>
        <v>263550</v>
      </c>
      <c r="O5" s="7">
        <f aca="true" t="shared" si="0" ref="O5:O13">N5*0.6</f>
        <v>158130</v>
      </c>
      <c r="P5" s="29"/>
      <c r="Q5" s="5" t="s">
        <v>26</v>
      </c>
      <c r="R5" s="5" t="s">
        <v>27</v>
      </c>
      <c r="S5" s="5"/>
    </row>
    <row r="6" spans="1:19" s="1" customFormat="1" ht="13.5">
      <c r="A6" s="6">
        <v>3</v>
      </c>
      <c r="B6" s="6" t="s">
        <v>173</v>
      </c>
      <c r="C6" s="6">
        <v>708</v>
      </c>
      <c r="D6" s="6">
        <v>2000</v>
      </c>
      <c r="E6" s="6">
        <v>1850</v>
      </c>
      <c r="F6" s="6">
        <v>27750</v>
      </c>
      <c r="G6" s="6"/>
      <c r="H6" s="6"/>
      <c r="I6" s="6"/>
      <c r="J6" s="6" t="s">
        <v>22</v>
      </c>
      <c r="K6" s="6" t="s">
        <v>174</v>
      </c>
      <c r="L6" s="26" t="s">
        <v>175</v>
      </c>
      <c r="M6" s="6">
        <v>197800</v>
      </c>
      <c r="N6" s="6">
        <f>(328+346)*1.8*0.2*800</f>
        <v>194112</v>
      </c>
      <c r="O6" s="7">
        <f t="shared" si="0"/>
        <v>116467.2</v>
      </c>
      <c r="P6" s="29"/>
      <c r="Q6" s="5" t="s">
        <v>26</v>
      </c>
      <c r="R6" s="5" t="s">
        <v>27</v>
      </c>
      <c r="S6" s="5"/>
    </row>
    <row r="7" spans="1:19" s="16" customFormat="1" ht="17.25" customHeight="1">
      <c r="A7" s="6">
        <v>4</v>
      </c>
      <c r="B7" s="6" t="s">
        <v>176</v>
      </c>
      <c r="C7" s="6">
        <v>415</v>
      </c>
      <c r="D7" s="6">
        <v>1160</v>
      </c>
      <c r="E7" s="6">
        <v>1100</v>
      </c>
      <c r="F7" s="6">
        <v>16500</v>
      </c>
      <c r="G7" s="6"/>
      <c r="H7" s="6"/>
      <c r="I7" s="6"/>
      <c r="J7" s="6" t="s">
        <v>22</v>
      </c>
      <c r="K7" s="27" t="s">
        <v>171</v>
      </c>
      <c r="L7" s="26" t="s">
        <v>177</v>
      </c>
      <c r="M7" s="6">
        <v>286000</v>
      </c>
      <c r="N7" s="27">
        <f>1800*2.5*0+2485.6*35</f>
        <v>86996</v>
      </c>
      <c r="O7" s="7">
        <f t="shared" si="0"/>
        <v>52197.6</v>
      </c>
      <c r="P7" s="34"/>
      <c r="Q7" s="40" t="s">
        <v>26</v>
      </c>
      <c r="R7" s="43" t="s">
        <v>178</v>
      </c>
      <c r="S7" s="5"/>
    </row>
    <row r="8" spans="1:19" s="14" customFormat="1" ht="34.5" customHeight="1">
      <c r="A8" s="6">
        <v>5</v>
      </c>
      <c r="B8" s="6" t="s">
        <v>179</v>
      </c>
      <c r="C8" s="6">
        <v>835</v>
      </c>
      <c r="D8" s="6">
        <v>2248</v>
      </c>
      <c r="E8" s="6">
        <v>2100</v>
      </c>
      <c r="F8" s="6">
        <v>31500</v>
      </c>
      <c r="G8" s="6"/>
      <c r="H8" s="6"/>
      <c r="I8" s="6"/>
      <c r="J8" s="6" t="s">
        <v>180</v>
      </c>
      <c r="K8" s="6" t="s">
        <v>181</v>
      </c>
      <c r="L8" s="26" t="s">
        <v>182</v>
      </c>
      <c r="M8" s="6">
        <v>292500</v>
      </c>
      <c r="N8" s="6">
        <f>35*(1500+1500+1380)</f>
        <v>153300</v>
      </c>
      <c r="O8" s="7">
        <f t="shared" si="0"/>
        <v>91980</v>
      </c>
      <c r="P8" s="29"/>
      <c r="Q8" s="5" t="s">
        <v>26</v>
      </c>
      <c r="R8" s="5" t="s">
        <v>183</v>
      </c>
      <c r="S8" s="5"/>
    </row>
    <row r="9" spans="1:19" s="14" customFormat="1" ht="45.75" customHeight="1">
      <c r="A9" s="6">
        <v>6</v>
      </c>
      <c r="B9" s="6" t="s">
        <v>184</v>
      </c>
      <c r="C9" s="6">
        <v>302</v>
      </c>
      <c r="D9" s="6">
        <v>865</v>
      </c>
      <c r="E9" s="6">
        <v>800</v>
      </c>
      <c r="F9" s="6">
        <v>12000</v>
      </c>
      <c r="G9" s="6"/>
      <c r="H9" s="6"/>
      <c r="I9" s="6"/>
      <c r="J9" s="6" t="s">
        <v>185</v>
      </c>
      <c r="K9" s="27" t="s">
        <v>171</v>
      </c>
      <c r="L9" s="26" t="s">
        <v>186</v>
      </c>
      <c r="M9" s="6">
        <v>293000</v>
      </c>
      <c r="N9" s="27">
        <f>35*(5908.6*0+(1320+1143+1143))</f>
        <v>126210</v>
      </c>
      <c r="O9" s="7">
        <f t="shared" si="0"/>
        <v>75726</v>
      </c>
      <c r="P9" s="29"/>
      <c r="Q9" s="5" t="s">
        <v>26</v>
      </c>
      <c r="R9" s="5" t="s">
        <v>27</v>
      </c>
      <c r="S9" s="5"/>
    </row>
    <row r="10" spans="1:19" s="1" customFormat="1" ht="36">
      <c r="A10" s="6">
        <v>7</v>
      </c>
      <c r="B10" s="6" t="s">
        <v>187</v>
      </c>
      <c r="C10" s="6">
        <v>637</v>
      </c>
      <c r="D10" s="6">
        <v>1737</v>
      </c>
      <c r="E10" s="6">
        <v>1600</v>
      </c>
      <c r="F10" s="6">
        <v>24000</v>
      </c>
      <c r="G10" s="6"/>
      <c r="H10" s="6"/>
      <c r="I10" s="6"/>
      <c r="J10" s="6" t="s">
        <v>22</v>
      </c>
      <c r="K10" s="6" t="s">
        <v>188</v>
      </c>
      <c r="L10" s="26" t="s">
        <v>189</v>
      </c>
      <c r="M10" s="6">
        <v>231363.27</v>
      </c>
      <c r="N10" s="6">
        <f>4.7*4.7*1200+17*(1.7+1.5+1*2)*0.25*800+8000+30000+2000</f>
        <v>84188</v>
      </c>
      <c r="O10" s="7">
        <f t="shared" si="0"/>
        <v>50512.799999999996</v>
      </c>
      <c r="P10" s="29"/>
      <c r="Q10" s="5" t="s">
        <v>26</v>
      </c>
      <c r="R10" s="5" t="s">
        <v>27</v>
      </c>
      <c r="S10" s="5"/>
    </row>
    <row r="11" spans="1:19" s="1" customFormat="1" ht="27">
      <c r="A11" s="6">
        <v>8</v>
      </c>
      <c r="B11" s="6" t="s">
        <v>190</v>
      </c>
      <c r="C11" s="6">
        <v>328</v>
      </c>
      <c r="D11" s="6">
        <v>842</v>
      </c>
      <c r="E11" s="6">
        <v>800</v>
      </c>
      <c r="F11" s="6">
        <v>12000</v>
      </c>
      <c r="G11" s="6"/>
      <c r="H11" s="6"/>
      <c r="I11" s="6"/>
      <c r="J11" s="6" t="s">
        <v>191</v>
      </c>
      <c r="K11" s="6" t="s">
        <v>192</v>
      </c>
      <c r="L11" s="26" t="s">
        <v>193</v>
      </c>
      <c r="M11" s="6">
        <v>277810</v>
      </c>
      <c r="N11" s="6">
        <f>4200*35</f>
        <v>147000</v>
      </c>
      <c r="O11" s="7">
        <f t="shared" si="0"/>
        <v>88200</v>
      </c>
      <c r="P11" s="29"/>
      <c r="Q11" s="5"/>
      <c r="R11" s="5"/>
      <c r="S11" s="5"/>
    </row>
    <row r="12" spans="1:19" s="1" customFormat="1" ht="22.5" customHeight="1">
      <c r="A12" s="6">
        <v>9</v>
      </c>
      <c r="B12" s="6" t="s">
        <v>194</v>
      </c>
      <c r="C12" s="6">
        <v>884</v>
      </c>
      <c r="D12" s="6">
        <v>2506</v>
      </c>
      <c r="E12" s="6">
        <v>2400</v>
      </c>
      <c r="F12" s="6">
        <v>36000</v>
      </c>
      <c r="G12" s="6"/>
      <c r="H12" s="6"/>
      <c r="I12" s="6"/>
      <c r="J12" s="6" t="s">
        <v>22</v>
      </c>
      <c r="K12" s="6" t="s">
        <v>195</v>
      </c>
      <c r="L12" s="26" t="s">
        <v>196</v>
      </c>
      <c r="M12" s="6">
        <v>299906.18</v>
      </c>
      <c r="N12" s="27">
        <f>170*(3.1*0.15)*1200</f>
        <v>94860</v>
      </c>
      <c r="O12" s="7">
        <f t="shared" si="0"/>
        <v>56916</v>
      </c>
      <c r="P12" s="29"/>
      <c r="Q12" s="5"/>
      <c r="R12" s="5"/>
      <c r="S12" s="5"/>
    </row>
    <row r="13" spans="1:19" s="1" customFormat="1" ht="24.75" customHeight="1">
      <c r="A13" s="6">
        <v>10</v>
      </c>
      <c r="B13" s="6" t="s">
        <v>197</v>
      </c>
      <c r="C13" s="6">
        <v>282</v>
      </c>
      <c r="D13" s="6">
        <v>777</v>
      </c>
      <c r="E13" s="6">
        <v>700</v>
      </c>
      <c r="F13" s="6">
        <v>10500</v>
      </c>
      <c r="G13" s="6"/>
      <c r="H13" s="6"/>
      <c r="I13" s="6"/>
      <c r="J13" s="6" t="s">
        <v>198</v>
      </c>
      <c r="K13" s="27" t="s">
        <v>199</v>
      </c>
      <c r="L13" s="26" t="s">
        <v>200</v>
      </c>
      <c r="M13" s="6">
        <v>238576</v>
      </c>
      <c r="N13" s="27">
        <f>(11.5*6*1350+45*3*0.24*460+10000)</f>
        <v>118054</v>
      </c>
      <c r="O13" s="7">
        <f t="shared" si="0"/>
        <v>70832.4</v>
      </c>
      <c r="P13" s="29"/>
      <c r="Q13" s="5"/>
      <c r="R13" s="5"/>
      <c r="S13" s="5"/>
    </row>
    <row r="14" spans="1:19" s="17" customFormat="1" ht="27" customHeight="1">
      <c r="A14" s="6">
        <v>10</v>
      </c>
      <c r="B14" s="6" t="s">
        <v>31</v>
      </c>
      <c r="C14" s="6">
        <f>SUM(C4:C13)</f>
        <v>4990</v>
      </c>
      <c r="D14" s="6">
        <f>SUM(D4:D13)</f>
        <v>13935</v>
      </c>
      <c r="E14" s="6">
        <f>SUM(E4:E13)</f>
        <v>12950</v>
      </c>
      <c r="F14" s="6">
        <f>SUM(F4:F13)</f>
        <v>194250</v>
      </c>
      <c r="G14" s="6">
        <f>SUM(G4:G10)</f>
        <v>0</v>
      </c>
      <c r="H14" s="6">
        <f>SUM(H4:H10)</f>
        <v>0</v>
      </c>
      <c r="I14" s="6">
        <f>SUM(I4:I10)</f>
        <v>0</v>
      </c>
      <c r="J14" s="6"/>
      <c r="K14" s="6"/>
      <c r="L14" s="47"/>
      <c r="M14" s="7">
        <f>SUM(M4:M13)</f>
        <v>2713213.0400000005</v>
      </c>
      <c r="N14" s="6">
        <f>SUM(N4:N13)</f>
        <v>1526990</v>
      </c>
      <c r="O14" s="6">
        <f>SUM(O4:O13)</f>
        <v>916194.0000000001</v>
      </c>
      <c r="P14" s="29"/>
      <c r="Q14" s="5"/>
      <c r="R14" s="5"/>
      <c r="S14" s="5"/>
    </row>
    <row r="15" spans="2:19" s="18" customFormat="1" ht="15" customHeight="1">
      <c r="B15" s="23" t="s">
        <v>32</v>
      </c>
      <c r="C15" s="23"/>
      <c r="D15" s="23"/>
      <c r="E15" s="23"/>
      <c r="F15" s="23"/>
      <c r="G15" s="23"/>
      <c r="H15" s="23"/>
      <c r="I15" s="23"/>
      <c r="J15" s="37"/>
      <c r="K15" s="23"/>
      <c r="L15" s="38"/>
      <c r="P15" s="37"/>
      <c r="S15" s="1"/>
    </row>
    <row r="16" spans="1:16" s="1" customFormat="1" ht="15" customHeight="1">
      <c r="A16" s="18"/>
      <c r="B16" s="24" t="s">
        <v>33</v>
      </c>
      <c r="C16" s="24"/>
      <c r="D16" s="24"/>
      <c r="E16" s="24"/>
      <c r="F16" s="24"/>
      <c r="G16" s="24"/>
      <c r="H16" s="24"/>
      <c r="I16" s="24"/>
      <c r="J16" s="3"/>
      <c r="K16" s="24"/>
      <c r="L16" s="19"/>
      <c r="P16" s="3"/>
    </row>
    <row r="17" spans="1:16" s="1" customFormat="1" ht="15" customHeight="1">
      <c r="A17" s="18"/>
      <c r="B17" s="24" t="s">
        <v>34</v>
      </c>
      <c r="C17" s="24"/>
      <c r="D17" s="24"/>
      <c r="E17" s="24"/>
      <c r="F17" s="24"/>
      <c r="G17" s="24"/>
      <c r="H17" s="24"/>
      <c r="I17" s="24"/>
      <c r="J17" s="3"/>
      <c r="K17" s="24"/>
      <c r="L17" s="19"/>
      <c r="P17" s="3"/>
    </row>
    <row r="18" spans="1:16" s="1" customFormat="1" ht="30" customHeight="1">
      <c r="A18" s="18"/>
      <c r="J18" s="3"/>
      <c r="K18" s="3"/>
      <c r="L18" s="19"/>
      <c r="P18" s="3"/>
    </row>
    <row r="19" spans="1:16" s="1" customFormat="1" ht="30" customHeight="1">
      <c r="A19" s="18"/>
      <c r="J19" s="3"/>
      <c r="K19" s="3"/>
      <c r="L19" s="19"/>
      <c r="P19" s="3"/>
    </row>
    <row r="20" spans="1:16" s="1" customFormat="1" ht="30" customHeight="1">
      <c r="A20" s="18"/>
      <c r="J20" s="3"/>
      <c r="K20" s="3"/>
      <c r="L20" s="19"/>
      <c r="P20" s="3"/>
    </row>
    <row r="21" spans="1:16" s="1" customFormat="1" ht="30" customHeight="1">
      <c r="A21" s="18"/>
      <c r="J21" s="3"/>
      <c r="K21" s="3"/>
      <c r="L21" s="19"/>
      <c r="P21" s="3"/>
    </row>
    <row r="22" spans="1:16" s="1" customFormat="1" ht="30" customHeight="1">
      <c r="A22" s="18"/>
      <c r="J22" s="3"/>
      <c r="K22" s="3"/>
      <c r="L22" s="19"/>
      <c r="P22" s="3"/>
    </row>
    <row r="23" ht="30" customHeight="1">
      <c r="A23" s="18"/>
    </row>
    <row r="24" ht="30" customHeight="1">
      <c r="A24" s="18"/>
    </row>
    <row r="25" ht="30" customHeight="1">
      <c r="A25" s="18"/>
    </row>
    <row r="26" ht="30" customHeight="1">
      <c r="A26" s="18"/>
    </row>
    <row r="27" ht="30" customHeight="1">
      <c r="A27" s="18"/>
    </row>
    <row r="28" ht="30" customHeight="1">
      <c r="A28" s="1"/>
    </row>
    <row r="29" ht="30" customHeight="1">
      <c r="A29" s="1"/>
    </row>
    <row r="30" ht="30" customHeight="1">
      <c r="A30" s="1"/>
    </row>
    <row r="31" ht="30" customHeight="1">
      <c r="A31" s="1"/>
    </row>
    <row r="32" ht="30" customHeight="1">
      <c r="A32" s="1"/>
    </row>
    <row r="33" ht="30" customHeight="1">
      <c r="A33" s="1"/>
    </row>
    <row r="34" ht="30" customHeight="1">
      <c r="A34" s="1"/>
    </row>
    <row r="35" ht="30" customHeight="1">
      <c r="A35" s="1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</sheetData>
  <sheetProtection/>
  <mergeCells count="1">
    <mergeCell ref="A1:R1"/>
  </mergeCells>
  <printOptions/>
  <pageMargins left="0.83" right="0.17" top="0.43" bottom="0.27" header="0.5" footer="0.3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30"/>
  <sheetViews>
    <sheetView workbookViewId="0" topLeftCell="A1">
      <pane xSplit="2" ySplit="1" topLeftCell="C2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4.25"/>
  <cols>
    <col min="1" max="1" width="3.875" style="2" customWidth="1"/>
    <col min="2" max="2" width="6.625" style="2" customWidth="1"/>
    <col min="3" max="7" width="6.625" style="2" hidden="1" customWidth="1"/>
    <col min="8" max="8" width="7.625" style="2" hidden="1" customWidth="1"/>
    <col min="9" max="9" width="8.125" style="2" hidden="1" customWidth="1"/>
    <col min="10" max="10" width="10.875" style="3" customWidth="1"/>
    <col min="11" max="11" width="19.75390625" style="3" customWidth="1"/>
    <col min="12" max="12" width="36.25390625" style="19" customWidth="1"/>
    <col min="13" max="13" width="11.625" style="2" customWidth="1"/>
    <col min="14" max="14" width="11.25390625" style="2" customWidth="1"/>
    <col min="15" max="15" width="9.25390625" style="2" customWidth="1"/>
    <col min="16" max="16" width="9.00390625" style="3" hidden="1" customWidth="1"/>
    <col min="17" max="17" width="5.625" style="2" hidden="1" customWidth="1"/>
    <col min="18" max="18" width="0.12890625" style="2" hidden="1" customWidth="1"/>
    <col min="19" max="19" width="11.50390625" style="2" customWidth="1"/>
    <col min="20" max="16384" width="9.00390625" style="2" customWidth="1"/>
  </cols>
  <sheetData>
    <row r="1" spans="1:18" ht="34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6" ht="13.5">
      <c r="A2" s="2" t="s">
        <v>1</v>
      </c>
      <c r="P2" s="3" t="s">
        <v>3</v>
      </c>
    </row>
    <row r="3" spans="1:19" s="1" customFormat="1" ht="39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25" t="s">
        <v>19</v>
      </c>
      <c r="Q3" s="6" t="s">
        <v>20</v>
      </c>
      <c r="R3" s="6" t="s">
        <v>19</v>
      </c>
      <c r="S3" s="5" t="s">
        <v>516</v>
      </c>
    </row>
    <row r="4" spans="1:19" s="14" customFormat="1" ht="24">
      <c r="A4" s="6">
        <v>1</v>
      </c>
      <c r="B4" s="6" t="s">
        <v>201</v>
      </c>
      <c r="C4" s="6">
        <v>206</v>
      </c>
      <c r="D4" s="6">
        <v>558</v>
      </c>
      <c r="E4" s="6">
        <v>460</v>
      </c>
      <c r="F4" s="6">
        <v>6900</v>
      </c>
      <c r="G4" s="6"/>
      <c r="H4" s="6"/>
      <c r="I4" s="6"/>
      <c r="J4" s="6" t="s">
        <v>22</v>
      </c>
      <c r="K4" s="27" t="s">
        <v>202</v>
      </c>
      <c r="L4" s="47" t="s">
        <v>203</v>
      </c>
      <c r="M4" s="7">
        <v>295917.83</v>
      </c>
      <c r="N4" s="7">
        <f>8*1500+120*1350+5000+50*600+3000+400*40</f>
        <v>228000</v>
      </c>
      <c r="O4" s="58">
        <f>N4*0.6</f>
        <v>136800</v>
      </c>
      <c r="P4" s="28" t="s">
        <v>25</v>
      </c>
      <c r="Q4" s="5" t="s">
        <v>26</v>
      </c>
      <c r="R4" s="5" t="s">
        <v>27</v>
      </c>
      <c r="S4" s="59"/>
    </row>
    <row r="5" spans="1:19" s="1" customFormat="1" ht="24">
      <c r="A5" s="6">
        <v>2</v>
      </c>
      <c r="B5" s="6" t="s">
        <v>204</v>
      </c>
      <c r="C5" s="6">
        <v>380</v>
      </c>
      <c r="D5" s="6">
        <v>1050</v>
      </c>
      <c r="E5" s="6">
        <v>750</v>
      </c>
      <c r="F5" s="6">
        <v>11250</v>
      </c>
      <c r="G5" s="6"/>
      <c r="H5" s="6"/>
      <c r="I5" s="6"/>
      <c r="J5" s="6" t="s">
        <v>22</v>
      </c>
      <c r="K5" s="6" t="s">
        <v>205</v>
      </c>
      <c r="L5" s="47" t="s">
        <v>206</v>
      </c>
      <c r="M5" s="7">
        <v>292198.82</v>
      </c>
      <c r="N5" s="7">
        <f>14*16*1000+10000</f>
        <v>234000</v>
      </c>
      <c r="O5" s="58">
        <f>N5*0.6</f>
        <v>140400</v>
      </c>
      <c r="P5" s="28" t="s">
        <v>46</v>
      </c>
      <c r="Q5" s="5" t="s">
        <v>26</v>
      </c>
      <c r="R5" s="5" t="s">
        <v>27</v>
      </c>
      <c r="S5" s="5"/>
    </row>
    <row r="6" spans="1:19" s="1" customFormat="1" ht="24">
      <c r="A6" s="6">
        <v>3</v>
      </c>
      <c r="B6" s="6" t="s">
        <v>207</v>
      </c>
      <c r="C6" s="6">
        <v>1020</v>
      </c>
      <c r="D6" s="6">
        <v>2980</v>
      </c>
      <c r="E6" s="6">
        <v>2725</v>
      </c>
      <c r="F6" s="6">
        <v>40875</v>
      </c>
      <c r="G6" s="6"/>
      <c r="H6" s="6"/>
      <c r="I6" s="6"/>
      <c r="J6" s="6" t="s">
        <v>208</v>
      </c>
      <c r="K6" s="6" t="s">
        <v>209</v>
      </c>
      <c r="L6" s="47" t="s">
        <v>210</v>
      </c>
      <c r="M6" s="7">
        <v>298000</v>
      </c>
      <c r="N6" s="7">
        <f>440*4.5*48+410*4*48</f>
        <v>173760</v>
      </c>
      <c r="O6" s="58">
        <f>N6*0.6</f>
        <v>104256</v>
      </c>
      <c r="P6" s="29"/>
      <c r="Q6" s="5" t="s">
        <v>26</v>
      </c>
      <c r="R6" s="5" t="s">
        <v>27</v>
      </c>
      <c r="S6" s="5"/>
    </row>
    <row r="7" spans="1:19" s="1" customFormat="1" ht="36">
      <c r="A7" s="49">
        <v>4</v>
      </c>
      <c r="B7" s="49" t="s">
        <v>211</v>
      </c>
      <c r="C7" s="49">
        <v>256</v>
      </c>
      <c r="D7" s="49">
        <v>708</v>
      </c>
      <c r="E7" s="49">
        <v>680</v>
      </c>
      <c r="F7" s="49">
        <v>6800</v>
      </c>
      <c r="G7" s="49"/>
      <c r="H7" s="49"/>
      <c r="I7" s="49"/>
      <c r="J7" s="49" t="s">
        <v>212</v>
      </c>
      <c r="K7" s="69" t="s">
        <v>213</v>
      </c>
      <c r="L7" s="72" t="s">
        <v>214</v>
      </c>
      <c r="M7" s="73">
        <v>298672.23</v>
      </c>
      <c r="N7" s="73">
        <f>49*30*62+4.4*3.6*1350+10000+56.7*1.5*0.24*460+56.7*180+15000+18000</f>
        <v>175119.52</v>
      </c>
      <c r="O7" s="58">
        <f>N7*0.6</f>
        <v>105071.71199999998</v>
      </c>
      <c r="P7" s="29"/>
      <c r="Q7" s="74"/>
      <c r="R7" s="74"/>
      <c r="S7" s="74"/>
    </row>
    <row r="8" spans="1:19" s="51" customFormat="1" ht="27">
      <c r="A8" s="40">
        <v>5</v>
      </c>
      <c r="B8" s="6" t="s">
        <v>215</v>
      </c>
      <c r="C8" s="6">
        <v>800</v>
      </c>
      <c r="D8" s="6">
        <v>2500</v>
      </c>
      <c r="E8" s="6">
        <v>2500</v>
      </c>
      <c r="F8" s="6">
        <v>25000</v>
      </c>
      <c r="G8" s="6"/>
      <c r="H8" s="6"/>
      <c r="I8" s="6"/>
      <c r="J8" s="6" t="s">
        <v>216</v>
      </c>
      <c r="K8" s="27" t="s">
        <v>217</v>
      </c>
      <c r="L8" s="47" t="s">
        <v>218</v>
      </c>
      <c r="M8" s="7">
        <v>298231.34</v>
      </c>
      <c r="N8" s="7">
        <f>173.475*1350</f>
        <v>234191.25</v>
      </c>
      <c r="O8" s="58">
        <f>N8*0.6</f>
        <v>140514.75</v>
      </c>
      <c r="P8" s="35"/>
      <c r="Q8" s="5" t="s">
        <v>26</v>
      </c>
      <c r="R8" s="5" t="s">
        <v>27</v>
      </c>
      <c r="S8" s="59"/>
    </row>
    <row r="9" spans="1:19" s="18" customFormat="1" ht="39" customHeight="1">
      <c r="A9" s="84">
        <v>5</v>
      </c>
      <c r="B9" s="75" t="s">
        <v>31</v>
      </c>
      <c r="C9" s="75">
        <f>SUM(C4:C8)</f>
        <v>2662</v>
      </c>
      <c r="D9" s="75">
        <f>SUM(D4:D8)</f>
        <v>7796</v>
      </c>
      <c r="E9" s="75">
        <f>SUM(E4:E8)</f>
        <v>7115</v>
      </c>
      <c r="F9" s="75">
        <f>SUM(F4:F8)</f>
        <v>90825</v>
      </c>
      <c r="G9" s="75"/>
      <c r="H9" s="75"/>
      <c r="I9" s="75"/>
      <c r="J9" s="75"/>
      <c r="K9" s="75"/>
      <c r="L9" s="76"/>
      <c r="M9" s="77">
        <f aca="true" t="shared" si="0" ref="M9:R9">SUM(M4:M8)</f>
        <v>1483020.22</v>
      </c>
      <c r="N9" s="77">
        <f t="shared" si="0"/>
        <v>1045070.77</v>
      </c>
      <c r="O9" s="106">
        <f t="shared" si="0"/>
        <v>627042.462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8"/>
    </row>
    <row r="10" spans="2:16" s="18" customFormat="1" ht="15" customHeight="1">
      <c r="B10" s="23" t="s">
        <v>32</v>
      </c>
      <c r="C10" s="23"/>
      <c r="D10" s="23"/>
      <c r="E10" s="23"/>
      <c r="F10" s="23"/>
      <c r="G10" s="23"/>
      <c r="H10" s="23"/>
      <c r="I10" s="23"/>
      <c r="J10" s="37"/>
      <c r="K10" s="23"/>
      <c r="L10" s="38"/>
      <c r="P10" s="37"/>
    </row>
    <row r="11" spans="1:16" s="1" customFormat="1" ht="15" customHeight="1">
      <c r="A11" s="18"/>
      <c r="B11" s="24" t="s">
        <v>33</v>
      </c>
      <c r="C11" s="24"/>
      <c r="D11" s="24"/>
      <c r="E11" s="24"/>
      <c r="F11" s="24"/>
      <c r="G11" s="24"/>
      <c r="H11" s="24"/>
      <c r="I11" s="24"/>
      <c r="J11" s="3"/>
      <c r="K11" s="24"/>
      <c r="L11" s="19"/>
      <c r="P11" s="3"/>
    </row>
    <row r="12" spans="1:16" s="1" customFormat="1" ht="15" customHeight="1">
      <c r="A12" s="18"/>
      <c r="B12" s="24" t="s">
        <v>34</v>
      </c>
      <c r="C12" s="24"/>
      <c r="D12" s="24"/>
      <c r="E12" s="24"/>
      <c r="F12" s="24"/>
      <c r="G12" s="24"/>
      <c r="H12" s="24"/>
      <c r="I12" s="24"/>
      <c r="J12" s="3"/>
      <c r="K12" s="24"/>
      <c r="L12" s="19"/>
      <c r="P12" s="3"/>
    </row>
    <row r="13" spans="1:16" s="1" customFormat="1" ht="30" customHeight="1">
      <c r="A13" s="18"/>
      <c r="J13" s="3"/>
      <c r="K13" s="3"/>
      <c r="L13" s="19"/>
      <c r="P13" s="3"/>
    </row>
    <row r="14" spans="1:16" s="1" customFormat="1" ht="30" customHeight="1">
      <c r="A14" s="18"/>
      <c r="J14" s="3"/>
      <c r="K14" s="3"/>
      <c r="L14" s="19"/>
      <c r="P14" s="3"/>
    </row>
    <row r="15" spans="1:16" s="1" customFormat="1" ht="30" customHeight="1">
      <c r="A15" s="18"/>
      <c r="J15" s="3"/>
      <c r="K15" s="3"/>
      <c r="L15" s="19"/>
      <c r="P15" s="3"/>
    </row>
    <row r="16" spans="1:16" s="1" customFormat="1" ht="30" customHeight="1">
      <c r="A16" s="18"/>
      <c r="J16" s="3"/>
      <c r="K16" s="3"/>
      <c r="L16" s="19"/>
      <c r="P16" s="3"/>
    </row>
    <row r="17" spans="1:16" s="1" customFormat="1" ht="30" customHeight="1">
      <c r="A17" s="18"/>
      <c r="J17" s="3"/>
      <c r="K17" s="3"/>
      <c r="L17" s="19"/>
      <c r="P17" s="3"/>
    </row>
    <row r="18" ht="30" customHeight="1">
      <c r="A18" s="18"/>
    </row>
    <row r="19" ht="30" customHeight="1">
      <c r="A19" s="18"/>
    </row>
    <row r="20" ht="30" customHeight="1">
      <c r="A20" s="18"/>
    </row>
    <row r="21" ht="30" customHeight="1">
      <c r="A21" s="18"/>
    </row>
    <row r="22" ht="30" customHeight="1">
      <c r="A22" s="18"/>
    </row>
    <row r="23" ht="30" customHeight="1">
      <c r="A23" s="1"/>
    </row>
    <row r="24" ht="30" customHeight="1">
      <c r="A24" s="1"/>
    </row>
    <row r="25" ht="30" customHeight="1">
      <c r="A25" s="1"/>
    </row>
    <row r="26" ht="30" customHeight="1">
      <c r="A26" s="1"/>
    </row>
    <row r="27" ht="30" customHeight="1">
      <c r="A27" s="1"/>
    </row>
    <row r="28" ht="30" customHeight="1">
      <c r="A28" s="1"/>
    </row>
    <row r="29" ht="30" customHeight="1">
      <c r="A29" s="1"/>
    </row>
    <row r="30" ht="30" customHeight="1">
      <c r="A30" s="1"/>
    </row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/>
  <mergeCells count="1">
    <mergeCell ref="A1:R1"/>
  </mergeCells>
  <printOptions/>
  <pageMargins left="0.58" right="0.17" top="0.43" bottom="0.27" header="0.5" footer="0.3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S40"/>
  <sheetViews>
    <sheetView workbookViewId="0" topLeftCell="A1">
      <pane xSplit="2" ySplit="1" topLeftCell="C9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J13" sqref="J13"/>
    </sheetView>
  </sheetViews>
  <sheetFormatPr defaultColWidth="9.00390625" defaultRowHeight="14.25"/>
  <cols>
    <col min="1" max="1" width="3.875" style="2" customWidth="1"/>
    <col min="2" max="2" width="6.625" style="2" customWidth="1"/>
    <col min="3" max="7" width="6.625" style="2" hidden="1" customWidth="1"/>
    <col min="8" max="8" width="7.625" style="2" hidden="1" customWidth="1"/>
    <col min="9" max="9" width="8.125" style="2" hidden="1" customWidth="1"/>
    <col min="10" max="10" width="14.25390625" style="3" customWidth="1"/>
    <col min="11" max="11" width="11.25390625" style="3" customWidth="1"/>
    <col min="12" max="12" width="49.875" style="19" customWidth="1"/>
    <col min="13" max="13" width="10.75390625" style="2" customWidth="1"/>
    <col min="14" max="14" width="10.375" style="2" customWidth="1"/>
    <col min="15" max="15" width="9.875" style="2" customWidth="1"/>
    <col min="16" max="16" width="9.00390625" style="3" hidden="1" customWidth="1"/>
    <col min="17" max="17" width="5.625" style="2" hidden="1" customWidth="1"/>
    <col min="18" max="18" width="0.875" style="2" hidden="1" customWidth="1"/>
    <col min="19" max="19" width="9.875" style="2" customWidth="1"/>
    <col min="20" max="16384" width="9.00390625" style="2" customWidth="1"/>
  </cols>
  <sheetData>
    <row r="1" spans="1:18" ht="34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6" ht="13.5">
      <c r="A2" s="2" t="s">
        <v>219</v>
      </c>
      <c r="P2" s="3" t="s">
        <v>3</v>
      </c>
    </row>
    <row r="3" spans="1:19" s="1" customFormat="1" ht="30.7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6" t="s">
        <v>18</v>
      </c>
      <c r="P3" s="25" t="s">
        <v>19</v>
      </c>
      <c r="Q3" s="6" t="s">
        <v>20</v>
      </c>
      <c r="R3" s="6" t="s">
        <v>19</v>
      </c>
      <c r="S3" s="5" t="s">
        <v>516</v>
      </c>
    </row>
    <row r="4" spans="1:19" s="14" customFormat="1" ht="21.75" customHeight="1">
      <c r="A4" s="6">
        <v>1</v>
      </c>
      <c r="B4" s="6" t="s">
        <v>220</v>
      </c>
      <c r="C4" s="6">
        <v>572</v>
      </c>
      <c r="D4" s="6">
        <v>1374</v>
      </c>
      <c r="E4" s="6">
        <v>1290</v>
      </c>
      <c r="F4" s="6">
        <v>12900</v>
      </c>
      <c r="G4" s="6"/>
      <c r="H4" s="6"/>
      <c r="I4" s="6"/>
      <c r="J4" s="6" t="s">
        <v>221</v>
      </c>
      <c r="K4" s="6" t="s">
        <v>222</v>
      </c>
      <c r="L4" s="26" t="s">
        <v>223</v>
      </c>
      <c r="M4" s="6">
        <v>292500</v>
      </c>
      <c r="N4" s="6">
        <f>90*1800</f>
        <v>162000</v>
      </c>
      <c r="O4" s="7">
        <f>N4*0.6</f>
        <v>97200</v>
      </c>
      <c r="P4" s="28" t="s">
        <v>25</v>
      </c>
      <c r="Q4" s="5" t="s">
        <v>26</v>
      </c>
      <c r="R4" s="5" t="s">
        <v>27</v>
      </c>
      <c r="S4" s="59"/>
    </row>
    <row r="5" spans="1:19" s="1" customFormat="1" ht="18.75" customHeight="1">
      <c r="A5" s="6">
        <v>2</v>
      </c>
      <c r="B5" s="6" t="s">
        <v>224</v>
      </c>
      <c r="C5" s="1">
        <v>290</v>
      </c>
      <c r="D5" s="6">
        <v>725</v>
      </c>
      <c r="E5" s="6">
        <v>725</v>
      </c>
      <c r="F5" s="6">
        <v>3625</v>
      </c>
      <c r="G5" s="6"/>
      <c r="H5" s="6"/>
      <c r="I5" s="6"/>
      <c r="J5" s="6" t="s">
        <v>225</v>
      </c>
      <c r="K5" s="6" t="s">
        <v>226</v>
      </c>
      <c r="L5" s="26" t="s">
        <v>227</v>
      </c>
      <c r="M5" s="6">
        <v>298250</v>
      </c>
      <c r="N5" s="6">
        <f>900*4*50</f>
        <v>180000</v>
      </c>
      <c r="O5" s="7">
        <f aca="true" t="shared" si="0" ref="O5:O18">N5*0.6</f>
        <v>108000</v>
      </c>
      <c r="P5" s="28" t="s">
        <v>46</v>
      </c>
      <c r="Q5" s="5" t="s">
        <v>26</v>
      </c>
      <c r="R5" s="5" t="s">
        <v>27</v>
      </c>
      <c r="S5" s="5"/>
    </row>
    <row r="6" spans="1:19" s="53" customFormat="1" ht="20.25" customHeight="1">
      <c r="A6" s="6">
        <v>3</v>
      </c>
      <c r="B6" s="27" t="s">
        <v>228</v>
      </c>
      <c r="C6" s="27">
        <v>164</v>
      </c>
      <c r="D6" s="27">
        <v>422</v>
      </c>
      <c r="E6" s="27">
        <v>396</v>
      </c>
      <c r="F6" s="27">
        <v>5940</v>
      </c>
      <c r="G6" s="27">
        <v>180</v>
      </c>
      <c r="H6" s="27">
        <v>27000</v>
      </c>
      <c r="I6" s="27"/>
      <c r="J6" s="27" t="s">
        <v>229</v>
      </c>
      <c r="K6" s="27" t="s">
        <v>230</v>
      </c>
      <c r="L6" s="44" t="s">
        <v>231</v>
      </c>
      <c r="M6" s="27">
        <v>295347</v>
      </c>
      <c r="N6" s="54">
        <f>8.5*0+6.5*25.7*1350+295000*0</f>
        <v>225517.49999999997</v>
      </c>
      <c r="O6" s="7">
        <f t="shared" si="0"/>
        <v>135310.49999999997</v>
      </c>
      <c r="P6" s="55"/>
      <c r="Q6" s="56" t="s">
        <v>26</v>
      </c>
      <c r="R6" s="56" t="s">
        <v>27</v>
      </c>
      <c r="S6" s="89"/>
    </row>
    <row r="7" spans="1:19" s="14" customFormat="1" ht="28.5" customHeight="1">
      <c r="A7" s="6">
        <v>4</v>
      </c>
      <c r="B7" s="6" t="s">
        <v>232</v>
      </c>
      <c r="C7" s="6">
        <v>348</v>
      </c>
      <c r="D7" s="6">
        <v>933</v>
      </c>
      <c r="E7" s="6">
        <v>933</v>
      </c>
      <c r="F7" s="6">
        <v>9330</v>
      </c>
      <c r="G7" s="6"/>
      <c r="H7" s="6"/>
      <c r="I7" s="6"/>
      <c r="J7" s="6" t="s">
        <v>233</v>
      </c>
      <c r="K7" s="6" t="s">
        <v>234</v>
      </c>
      <c r="L7" s="26" t="s">
        <v>235</v>
      </c>
      <c r="M7" s="6">
        <v>295180</v>
      </c>
      <c r="N7" s="6">
        <f>2250*50</f>
        <v>112500</v>
      </c>
      <c r="O7" s="7">
        <f t="shared" si="0"/>
        <v>67500</v>
      </c>
      <c r="P7" s="29"/>
      <c r="Q7" s="5" t="s">
        <v>26</v>
      </c>
      <c r="R7" s="5" t="s">
        <v>27</v>
      </c>
      <c r="S7" s="59"/>
    </row>
    <row r="8" spans="1:19" s="14" customFormat="1" ht="26.25" customHeight="1">
      <c r="A8" s="6">
        <v>5</v>
      </c>
      <c r="B8" s="6" t="s">
        <v>236</v>
      </c>
      <c r="C8" s="6">
        <v>398</v>
      </c>
      <c r="D8" s="6">
        <v>1125</v>
      </c>
      <c r="E8" s="6">
        <v>1025</v>
      </c>
      <c r="F8" s="6">
        <v>15375</v>
      </c>
      <c r="G8" s="6">
        <v>335</v>
      </c>
      <c r="H8" s="6">
        <v>50250</v>
      </c>
      <c r="I8" s="6"/>
      <c r="J8" s="6" t="s">
        <v>237</v>
      </c>
      <c r="K8" s="6" t="s">
        <v>238</v>
      </c>
      <c r="L8" s="26" t="s">
        <v>239</v>
      </c>
      <c r="M8" s="6">
        <v>299925</v>
      </c>
      <c r="N8" s="6">
        <f>700*32+1000*18+1700*(10+3.5)+1400*0.5*50</f>
        <v>98350</v>
      </c>
      <c r="O8" s="7">
        <f t="shared" si="0"/>
        <v>59010</v>
      </c>
      <c r="P8" s="29"/>
      <c r="Q8" s="5" t="s">
        <v>26</v>
      </c>
      <c r="R8" s="5" t="s">
        <v>27</v>
      </c>
      <c r="S8" s="59"/>
    </row>
    <row r="9" spans="1:19" s="1" customFormat="1" ht="24.75" customHeight="1">
      <c r="A9" s="6">
        <v>6</v>
      </c>
      <c r="B9" s="6" t="s">
        <v>240</v>
      </c>
      <c r="C9" s="6">
        <v>173</v>
      </c>
      <c r="D9" s="6">
        <v>414</v>
      </c>
      <c r="E9" s="6">
        <v>414</v>
      </c>
      <c r="F9" s="6">
        <v>4140</v>
      </c>
      <c r="G9" s="6"/>
      <c r="H9" s="6"/>
      <c r="I9" s="6"/>
      <c r="J9" s="6" t="s">
        <v>22</v>
      </c>
      <c r="K9" s="6" t="s">
        <v>241</v>
      </c>
      <c r="L9" s="26" t="s">
        <v>242</v>
      </c>
      <c r="M9" s="6">
        <v>139640</v>
      </c>
      <c r="N9" s="6">
        <f>39*1800</f>
        <v>70200</v>
      </c>
      <c r="O9" s="7">
        <f t="shared" si="0"/>
        <v>42120</v>
      </c>
      <c r="P9" s="29"/>
      <c r="Q9" s="5" t="s">
        <v>26</v>
      </c>
      <c r="R9" s="5" t="s">
        <v>27</v>
      </c>
      <c r="S9" s="5"/>
    </row>
    <row r="10" spans="1:19" s="1" customFormat="1" ht="19.5" customHeight="1">
      <c r="A10" s="6">
        <v>7</v>
      </c>
      <c r="B10" s="6" t="s">
        <v>243</v>
      </c>
      <c r="C10" s="1">
        <v>345</v>
      </c>
      <c r="D10" s="6">
        <v>876</v>
      </c>
      <c r="E10" s="6">
        <v>600</v>
      </c>
      <c r="F10" s="6">
        <v>9000</v>
      </c>
      <c r="G10" s="6">
        <v>400</v>
      </c>
      <c r="H10" s="6">
        <v>60000</v>
      </c>
      <c r="I10" s="6"/>
      <c r="J10" s="6" t="s">
        <v>22</v>
      </c>
      <c r="K10" s="27" t="s">
        <v>244</v>
      </c>
      <c r="L10" s="44" t="s">
        <v>245</v>
      </c>
      <c r="M10" s="6">
        <v>298626</v>
      </c>
      <c r="N10" s="6">
        <f>100*15*50+10*8*0.5*430+40000</f>
        <v>132200</v>
      </c>
      <c r="O10" s="7">
        <f t="shared" si="0"/>
        <v>79320</v>
      </c>
      <c r="P10" s="29"/>
      <c r="Q10" s="5"/>
      <c r="R10" s="5"/>
      <c r="S10" s="5"/>
    </row>
    <row r="11" spans="1:19" s="1" customFormat="1" ht="27" customHeight="1">
      <c r="A11" s="6">
        <v>8</v>
      </c>
      <c r="B11" s="6" t="s">
        <v>246</v>
      </c>
      <c r="C11" s="6">
        <v>391</v>
      </c>
      <c r="D11" s="6">
        <v>1034</v>
      </c>
      <c r="E11" s="6">
        <v>900</v>
      </c>
      <c r="F11" s="6">
        <v>13500</v>
      </c>
      <c r="G11" s="6"/>
      <c r="H11" s="6"/>
      <c r="I11" s="6"/>
      <c r="J11" s="6" t="s">
        <v>247</v>
      </c>
      <c r="K11" s="6" t="s">
        <v>248</v>
      </c>
      <c r="L11" s="26" t="s">
        <v>249</v>
      </c>
      <c r="M11" s="6">
        <v>204880</v>
      </c>
      <c r="N11" s="6">
        <f>4000*(18+7+3.5)+102*350+4*300+4*350</f>
        <v>152300</v>
      </c>
      <c r="O11" s="7">
        <f t="shared" si="0"/>
        <v>91380</v>
      </c>
      <c r="P11" s="29"/>
      <c r="Q11" s="5"/>
      <c r="R11" s="5"/>
      <c r="S11" s="5"/>
    </row>
    <row r="12" spans="1:19" s="1" customFormat="1" ht="18" customHeight="1">
      <c r="A12" s="6">
        <v>9</v>
      </c>
      <c r="B12" s="6" t="s">
        <v>250</v>
      </c>
      <c r="C12" s="6">
        <v>340</v>
      </c>
      <c r="D12" s="6">
        <v>920</v>
      </c>
      <c r="E12" s="6">
        <v>600</v>
      </c>
      <c r="F12" s="6">
        <v>9000</v>
      </c>
      <c r="G12" s="6">
        <v>180</v>
      </c>
      <c r="H12" s="6">
        <v>27000</v>
      </c>
      <c r="I12" s="6"/>
      <c r="J12" s="6" t="s">
        <v>251</v>
      </c>
      <c r="K12" s="6" t="s">
        <v>252</v>
      </c>
      <c r="L12" s="26" t="s">
        <v>253</v>
      </c>
      <c r="M12" s="6">
        <v>162486</v>
      </c>
      <c r="N12" s="6">
        <f>60*1800</f>
        <v>108000</v>
      </c>
      <c r="O12" s="7">
        <f t="shared" si="0"/>
        <v>64800</v>
      </c>
      <c r="P12" s="29"/>
      <c r="Q12" s="5"/>
      <c r="R12" s="5"/>
      <c r="S12" s="5"/>
    </row>
    <row r="13" spans="1:19" s="1" customFormat="1" ht="24.75" customHeight="1">
      <c r="A13" s="6">
        <v>10</v>
      </c>
      <c r="B13" s="6" t="s">
        <v>254</v>
      </c>
      <c r="C13" s="6">
        <v>348</v>
      </c>
      <c r="D13" s="6">
        <v>974</v>
      </c>
      <c r="E13" s="6">
        <v>600</v>
      </c>
      <c r="F13" s="6">
        <v>12000</v>
      </c>
      <c r="G13" s="6">
        <v>355</v>
      </c>
      <c r="H13" s="6">
        <v>31950</v>
      </c>
      <c r="I13" s="6"/>
      <c r="J13" s="6" t="s">
        <v>255</v>
      </c>
      <c r="K13" s="6" t="s">
        <v>252</v>
      </c>
      <c r="L13" s="26" t="s">
        <v>256</v>
      </c>
      <c r="M13" s="6">
        <v>276935</v>
      </c>
      <c r="N13" s="6">
        <f>70*1800</f>
        <v>126000</v>
      </c>
      <c r="O13" s="7">
        <f t="shared" si="0"/>
        <v>75600</v>
      </c>
      <c r="P13" s="29"/>
      <c r="Q13" s="5"/>
      <c r="R13" s="5"/>
      <c r="S13" s="5"/>
    </row>
    <row r="14" spans="1:19" s="82" customFormat="1" ht="40.5">
      <c r="A14" s="27">
        <v>11</v>
      </c>
      <c r="B14" s="27" t="s">
        <v>257</v>
      </c>
      <c r="C14" s="27">
        <v>418</v>
      </c>
      <c r="D14" s="27">
        <v>1105</v>
      </c>
      <c r="E14" s="27">
        <v>985</v>
      </c>
      <c r="F14" s="27">
        <v>9850</v>
      </c>
      <c r="G14" s="27"/>
      <c r="H14" s="27"/>
      <c r="I14" s="27"/>
      <c r="J14" s="27" t="s">
        <v>258</v>
      </c>
      <c r="K14" s="27" t="s">
        <v>259</v>
      </c>
      <c r="L14" s="44" t="s">
        <v>524</v>
      </c>
      <c r="M14" s="27">
        <v>298000</v>
      </c>
      <c r="N14" s="27">
        <f>450*6*74</f>
        <v>199800</v>
      </c>
      <c r="O14" s="7">
        <f t="shared" si="0"/>
        <v>119880</v>
      </c>
      <c r="P14" s="55"/>
      <c r="Q14" s="56"/>
      <c r="R14" s="56"/>
      <c r="S14" s="56"/>
    </row>
    <row r="15" spans="1:19" s="1" customFormat="1" ht="20.25" customHeight="1">
      <c r="A15" s="6">
        <v>12</v>
      </c>
      <c r="B15" s="6" t="s">
        <v>260</v>
      </c>
      <c r="C15" s="6">
        <v>1096</v>
      </c>
      <c r="D15" s="6">
        <v>2768</v>
      </c>
      <c r="E15" s="6">
        <v>2000</v>
      </c>
      <c r="F15" s="6">
        <v>20000</v>
      </c>
      <c r="G15" s="6"/>
      <c r="H15" s="6"/>
      <c r="I15" s="6"/>
      <c r="J15" s="6" t="s">
        <v>261</v>
      </c>
      <c r="K15" s="6" t="s">
        <v>262</v>
      </c>
      <c r="L15" s="26" t="s">
        <v>263</v>
      </c>
      <c r="M15" s="6">
        <v>291280</v>
      </c>
      <c r="N15" s="6">
        <f>4800*60</f>
        <v>288000</v>
      </c>
      <c r="O15" s="7">
        <f t="shared" si="0"/>
        <v>172800</v>
      </c>
      <c r="P15" s="29"/>
      <c r="Q15" s="5"/>
      <c r="R15" s="5"/>
      <c r="S15" s="5"/>
    </row>
    <row r="16" spans="1:19" s="14" customFormat="1" ht="25.5" customHeight="1">
      <c r="A16" s="6">
        <v>13</v>
      </c>
      <c r="B16" s="6" t="s">
        <v>264</v>
      </c>
      <c r="C16" s="6">
        <v>703</v>
      </c>
      <c r="D16" s="6">
        <v>1865</v>
      </c>
      <c r="E16" s="6">
        <v>1500</v>
      </c>
      <c r="F16" s="6"/>
      <c r="G16" s="6"/>
      <c r="H16" s="6"/>
      <c r="I16" s="6"/>
      <c r="J16" s="6" t="s">
        <v>22</v>
      </c>
      <c r="K16" s="6" t="s">
        <v>238</v>
      </c>
      <c r="L16" s="26" t="s">
        <v>265</v>
      </c>
      <c r="M16" s="6">
        <v>300000</v>
      </c>
      <c r="N16" s="6">
        <f>800*23+700*23+700*13.85+2200*(10+3.5+0.6*50)</f>
        <v>139895</v>
      </c>
      <c r="O16" s="7">
        <f t="shared" si="0"/>
        <v>83937</v>
      </c>
      <c r="P16" s="29"/>
      <c r="Q16" s="5" t="s">
        <v>26</v>
      </c>
      <c r="R16" s="5" t="s">
        <v>27</v>
      </c>
      <c r="S16" s="6"/>
    </row>
    <row r="17" spans="1:19" s="14" customFormat="1" ht="31.5" customHeight="1">
      <c r="A17" s="6">
        <v>14</v>
      </c>
      <c r="B17" s="6" t="s">
        <v>266</v>
      </c>
      <c r="C17" s="6">
        <v>376</v>
      </c>
      <c r="D17" s="6">
        <v>998</v>
      </c>
      <c r="E17" s="6">
        <v>800</v>
      </c>
      <c r="F17" s="6">
        <v>8000</v>
      </c>
      <c r="G17" s="6"/>
      <c r="H17" s="6"/>
      <c r="I17" s="6"/>
      <c r="J17" s="6" t="s">
        <v>22</v>
      </c>
      <c r="K17" s="6" t="s">
        <v>238</v>
      </c>
      <c r="L17" s="26" t="s">
        <v>267</v>
      </c>
      <c r="M17" s="6">
        <v>95115</v>
      </c>
      <c r="N17" s="7">
        <f>147*32+460*23+400*13.8+(147+460)*(10+3.5)+400*3.5+460*0.6*50+460*2*3+3*1200</f>
        <v>50558.5</v>
      </c>
      <c r="O17" s="7">
        <f t="shared" si="0"/>
        <v>30335.1</v>
      </c>
      <c r="P17" s="29"/>
      <c r="Q17" s="5" t="s">
        <v>26</v>
      </c>
      <c r="R17" s="5" t="s">
        <v>27</v>
      </c>
      <c r="S17" s="59"/>
    </row>
    <row r="18" spans="1:19" s="14" customFormat="1" ht="29.25" customHeight="1">
      <c r="A18" s="6">
        <v>15</v>
      </c>
      <c r="B18" s="6" t="s">
        <v>268</v>
      </c>
      <c r="C18" s="6">
        <v>273</v>
      </c>
      <c r="D18" s="6">
        <v>549</v>
      </c>
      <c r="E18" s="6">
        <v>549</v>
      </c>
      <c r="F18" s="6">
        <v>5490</v>
      </c>
      <c r="G18" s="6">
        <v>165</v>
      </c>
      <c r="H18" s="6">
        <v>14850</v>
      </c>
      <c r="I18" s="6"/>
      <c r="J18" s="6" t="s">
        <v>269</v>
      </c>
      <c r="K18" s="6" t="s">
        <v>270</v>
      </c>
      <c r="L18" s="26" t="s">
        <v>271</v>
      </c>
      <c r="M18" s="6">
        <v>299770</v>
      </c>
      <c r="N18" s="6">
        <f>1500*22+2700*10+4200*(10+3.5)+2000</f>
        <v>118700</v>
      </c>
      <c r="O18" s="7">
        <f t="shared" si="0"/>
        <v>71220</v>
      </c>
      <c r="P18" s="29"/>
      <c r="Q18" s="5"/>
      <c r="R18" s="5"/>
      <c r="S18" s="59"/>
    </row>
    <row r="19" spans="1:19" s="17" customFormat="1" ht="28.5" customHeight="1">
      <c r="A19" s="27">
        <v>15</v>
      </c>
      <c r="B19" s="6" t="s">
        <v>31</v>
      </c>
      <c r="C19" s="6">
        <f aca="true" t="shared" si="1" ref="C19:H19">SUM(C4:C18)</f>
        <v>6235</v>
      </c>
      <c r="D19" s="6">
        <f t="shared" si="1"/>
        <v>16082</v>
      </c>
      <c r="E19" s="6">
        <f t="shared" si="1"/>
        <v>13317</v>
      </c>
      <c r="F19" s="6">
        <f t="shared" si="1"/>
        <v>138150</v>
      </c>
      <c r="G19" s="6">
        <f t="shared" si="1"/>
        <v>1615</v>
      </c>
      <c r="H19" s="6">
        <f t="shared" si="1"/>
        <v>211050</v>
      </c>
      <c r="I19" s="6"/>
      <c r="J19" s="6"/>
      <c r="K19" s="6"/>
      <c r="L19" s="6"/>
      <c r="M19" s="6">
        <f>SUM(M4:M18)</f>
        <v>3847934</v>
      </c>
      <c r="N19" s="6">
        <f>SUM(N4:N18)</f>
        <v>2164021</v>
      </c>
      <c r="O19" s="7">
        <f>SUM(O4:O18)</f>
        <v>1298412.6</v>
      </c>
      <c r="P19" s="29"/>
      <c r="Q19" s="5"/>
      <c r="R19" s="5"/>
      <c r="S19" s="5"/>
    </row>
    <row r="20" spans="2:16" s="18" customFormat="1" ht="15" customHeight="1">
      <c r="B20" s="23" t="s">
        <v>32</v>
      </c>
      <c r="C20" s="23"/>
      <c r="D20" s="23"/>
      <c r="E20" s="23"/>
      <c r="F20" s="23"/>
      <c r="G20" s="23"/>
      <c r="H20" s="23"/>
      <c r="I20" s="23"/>
      <c r="J20" s="37"/>
      <c r="K20" s="23"/>
      <c r="L20" s="38"/>
      <c r="P20" s="37"/>
    </row>
    <row r="21" spans="1:16" s="1" customFormat="1" ht="15" customHeight="1">
      <c r="A21" s="18"/>
      <c r="B21" s="24" t="s">
        <v>33</v>
      </c>
      <c r="C21" s="24"/>
      <c r="D21" s="24"/>
      <c r="E21" s="24"/>
      <c r="F21" s="24"/>
      <c r="G21" s="24"/>
      <c r="H21" s="24"/>
      <c r="I21" s="24"/>
      <c r="J21" s="3"/>
      <c r="K21" s="24"/>
      <c r="L21" s="19"/>
      <c r="P21" s="3"/>
    </row>
    <row r="22" spans="1:16" s="1" customFormat="1" ht="15" customHeight="1">
      <c r="A22" s="18"/>
      <c r="B22" s="24" t="s">
        <v>34</v>
      </c>
      <c r="C22" s="24"/>
      <c r="D22" s="24"/>
      <c r="E22" s="24"/>
      <c r="F22" s="24"/>
      <c r="G22" s="24"/>
      <c r="H22" s="24"/>
      <c r="I22" s="24"/>
      <c r="J22" s="3"/>
      <c r="K22" s="24"/>
      <c r="L22" s="19"/>
      <c r="P22" s="3"/>
    </row>
    <row r="23" spans="1:16" s="1" customFormat="1" ht="30" customHeight="1">
      <c r="A23" s="18"/>
      <c r="J23" s="3"/>
      <c r="K23" s="3"/>
      <c r="L23" s="19"/>
      <c r="P23" s="3"/>
    </row>
    <row r="24" spans="1:16" s="1" customFormat="1" ht="30" customHeight="1">
      <c r="A24" s="18"/>
      <c r="J24" s="3"/>
      <c r="K24" s="3"/>
      <c r="L24" s="19"/>
      <c r="P24" s="3"/>
    </row>
    <row r="25" spans="1:16" s="1" customFormat="1" ht="30" customHeight="1">
      <c r="A25" s="18"/>
      <c r="J25" s="3"/>
      <c r="K25" s="3"/>
      <c r="L25" s="19"/>
      <c r="P25" s="3"/>
    </row>
    <row r="26" spans="1:16" s="1" customFormat="1" ht="30" customHeight="1">
      <c r="A26" s="18"/>
      <c r="J26" s="3"/>
      <c r="K26" s="3"/>
      <c r="L26" s="19"/>
      <c r="P26" s="3"/>
    </row>
    <row r="27" spans="1:16" s="1" customFormat="1" ht="30" customHeight="1">
      <c r="A27" s="18"/>
      <c r="J27" s="3"/>
      <c r="K27" s="3"/>
      <c r="L27" s="19"/>
      <c r="P27" s="3"/>
    </row>
    <row r="28" ht="30" customHeight="1">
      <c r="A28" s="18"/>
    </row>
    <row r="29" ht="30" customHeight="1">
      <c r="A29" s="18"/>
    </row>
    <row r="30" ht="30" customHeight="1">
      <c r="A30" s="18"/>
    </row>
    <row r="31" ht="30" customHeight="1">
      <c r="A31" s="18"/>
    </row>
    <row r="32" ht="30" customHeight="1">
      <c r="A32" s="18"/>
    </row>
    <row r="33" ht="30" customHeight="1">
      <c r="A33" s="1"/>
    </row>
    <row r="34" ht="30" customHeight="1">
      <c r="A34" s="1"/>
    </row>
    <row r="35" ht="30" customHeight="1">
      <c r="A35" s="1"/>
    </row>
    <row r="36" ht="30" customHeight="1">
      <c r="A36" s="1"/>
    </row>
    <row r="37" ht="30" customHeight="1">
      <c r="A37" s="1"/>
    </row>
    <row r="38" ht="30" customHeight="1">
      <c r="A38" s="1"/>
    </row>
    <row r="39" ht="30" customHeight="1">
      <c r="A39" s="1"/>
    </row>
    <row r="40" ht="30" customHeight="1">
      <c r="A40" s="1"/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</sheetData>
  <sheetProtection/>
  <mergeCells count="1">
    <mergeCell ref="A1:R1"/>
  </mergeCells>
  <printOptions/>
  <pageMargins left="0.47" right="0.17" top="0.43" bottom="0.27" header="0.5" footer="0.3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2018-05-19T00:53:37Z</cp:lastPrinted>
  <dcterms:created xsi:type="dcterms:W3CDTF">1996-12-17T01:32:42Z</dcterms:created>
  <dcterms:modified xsi:type="dcterms:W3CDTF">2018-05-21T02:30:15Z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